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<sst xmlns="http://schemas.openxmlformats.org/spreadsheetml/2006/main" uniqueCount="56">
  <si>
    <t>Financial model</t>
  </si>
  <si>
    <t>Rpbn</t>
  </si>
  <si>
    <t>4Q 2021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</si>
  <si>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</si>
  <si>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</si>
  <si>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</si>
  <si>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</si>
  <si>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</si>
  <si>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</si>
  <si>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</si>
  <si>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</si>
  <si>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</si>
  <si>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</si>
  <si>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</si>
  <si>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</si>
  <si>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</si>
  <si>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</si>
  <si>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</si>
  <si>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</si>
  <si>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</si>
  <si>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</si>
  <si>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</si>
  <si>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</si>
  <si>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</si>
  <si>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</si>
  <si>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</si>
  <si>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</si>
  <si>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</si>
  <si>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</si>
  <si>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</si>
  <si>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</si>
  <si>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</si>
  <si>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</si>
  <si>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</si>
  <si>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</si>
  <si>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</si>
  <si>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</si>
  <si>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</si>
  <si>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</si>
  <si>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</si>
  <si>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</si>
  <si>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</si>
  <si>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</si>
  <si>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Non cash</t>
  </si>
  <si>
    <t xml:space="preserve">Sales growth </t>
  </si>
  <si>
    <t xml:space="preserve">Cost ratio </t>
  </si>
  <si>
    <t>Cashflow costs</t>
  </si>
  <si>
    <t>Receipts</t>
  </si>
  <si>
    <t xml:space="preserve">Operating </t>
  </si>
  <si>
    <t xml:space="preserve">Investment </t>
  </si>
  <si>
    <t xml:space="preserve">Free cashflow </t>
  </si>
  <si>
    <t>Cash</t>
  </si>
  <si>
    <t>Assets</t>
  </si>
  <si>
    <t>Net cash (debt)</t>
  </si>
  <si>
    <t>Share price</t>
  </si>
  <si>
    <t>PTPP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</si>
</sst>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%_);[Red]\(0%\)"/>
    <numFmt numFmtId="60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0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832080</xdr:colOff>
      <xdr:row>1</xdr:row>
      <xdr:rowOff>246000</xdr:rowOff>
    </xdr:from>
    <xdr:to>
      <xdr:col>13</xdr:col>
      <xdr:colOff>277497</xdr:colOff>
      <xdr:row>46</xdr:row>
      <xdr:rowOff>119862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72280" y="568580"/>
          <a:ext cx="8157618" cy="114340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0156" style="1" customWidth="1"/>
    <col min="2" max="2" width="14.7656" style="1" customWidth="1"/>
    <col min="3" max="6" width="8.40625" style="1" customWidth="1"/>
    <col min="7" max="16384" width="16.3516" style="1" customWidth="1"/>
  </cols>
  <sheetData>
    <row r="1" ht="25.4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t="s" s="5">
        <v>2</v>
      </c>
      <c r="E3" s="6"/>
      <c r="F3" s="6"/>
    </row>
    <row r="4" ht="20.25" customHeight="1">
      <c r="B4" t="s" s="7">
        <v>3</v>
      </c>
      <c r="C4" s="8">
        <f>AVERAGE('Sales'!G26:G29)</f>
        <v>0.129847956336127</v>
      </c>
      <c r="D4" s="9"/>
      <c r="E4" s="9"/>
      <c r="F4" s="10">
        <f>AVERAGE(C5:F5)</f>
        <v>0.14</v>
      </c>
    </row>
    <row r="5" ht="20.05" customHeight="1">
      <c r="B5" t="s" s="11">
        <v>4</v>
      </c>
      <c r="C5" s="12">
        <v>0.4</v>
      </c>
      <c r="D5" s="13">
        <v>-0.01</v>
      </c>
      <c r="E5" s="13">
        <v>0.07000000000000001</v>
      </c>
      <c r="F5" s="13">
        <v>0.1</v>
      </c>
    </row>
    <row r="6" ht="20.05" customHeight="1">
      <c r="B6" t="s" s="11">
        <v>5</v>
      </c>
      <c r="C6" s="14">
        <f>'Sales'!C30*(1+C5)</f>
        <v>6656.16</v>
      </c>
      <c r="D6" s="15">
        <f>C6*(1+D5)</f>
        <v>6589.5984</v>
      </c>
      <c r="E6" s="15">
        <f>D6*(1+E5)</f>
        <v>7050.870288</v>
      </c>
      <c r="F6" s="15">
        <f>E6*(1+F5)</f>
        <v>7755.9573168</v>
      </c>
    </row>
    <row r="7" ht="20.05" customHeight="1">
      <c r="B7" t="s" s="11">
        <v>6</v>
      </c>
      <c r="C7" s="16">
        <f>AVERAGE('Sales'!I30)</f>
        <v>-0.931241521385382</v>
      </c>
      <c r="D7" s="17">
        <f>C7</f>
        <v>-0.931241521385382</v>
      </c>
      <c r="E7" s="17">
        <f>D7</f>
        <v>-0.931241521385382</v>
      </c>
      <c r="F7" s="17">
        <f>E7</f>
        <v>-0.931241521385382</v>
      </c>
    </row>
    <row r="8" ht="20.05" customHeight="1">
      <c r="B8" t="s" s="11">
        <v>7</v>
      </c>
      <c r="C8" s="18">
        <f>C6*C7</f>
        <v>-6198.492564984520</v>
      </c>
      <c r="D8" s="19">
        <f>D6*D7</f>
        <v>-6136.507639334680</v>
      </c>
      <c r="E8" s="19">
        <f>E6*E7</f>
        <v>-6566.063174088110</v>
      </c>
      <c r="F8" s="19">
        <f>F6*F7</f>
        <v>-7222.669491496920</v>
      </c>
    </row>
    <row r="9" ht="20.05" customHeight="1">
      <c r="B9" t="s" s="11">
        <v>8</v>
      </c>
      <c r="C9" s="18">
        <f>C6+C8</f>
        <v>457.667435015480</v>
      </c>
      <c r="D9" s="19">
        <f>D6+D8</f>
        <v>453.090760665320</v>
      </c>
      <c r="E9" s="19">
        <f>E6+E8</f>
        <v>484.807113911890</v>
      </c>
      <c r="F9" s="19">
        <f>F6+F8</f>
        <v>533.287825303080</v>
      </c>
    </row>
    <row r="10" ht="20.05" customHeight="1">
      <c r="B10" t="s" s="11">
        <v>9</v>
      </c>
      <c r="C10" s="18">
        <f>AVERAGE('Cashflow'!E28:E30)</f>
        <v>-483.9</v>
      </c>
      <c r="D10" s="19">
        <f>C10</f>
        <v>-483.9</v>
      </c>
      <c r="E10" s="19">
        <f>D10</f>
        <v>-483.9</v>
      </c>
      <c r="F10" s="19">
        <f>E10</f>
        <v>-483.9</v>
      </c>
    </row>
    <row r="11" ht="20.05" customHeight="1">
      <c r="B11" t="s" s="11">
        <v>10</v>
      </c>
      <c r="C11" s="18">
        <f>C12+C13+C15</f>
        <v>26.232564984520</v>
      </c>
      <c r="D11" s="19">
        <f>D12+D13+D15</f>
        <v>30.809239334680</v>
      </c>
      <c r="E11" s="19">
        <f>E12+E13+E15</f>
        <v>-0.907113911890</v>
      </c>
      <c r="F11" s="19">
        <f>F12+F13+F15</f>
        <v>-49.387825303080</v>
      </c>
    </row>
    <row r="12" ht="20.05" customHeight="1">
      <c r="B12" t="s" s="11">
        <v>11</v>
      </c>
      <c r="C12" s="18">
        <f>-'Balance sheet'!G30/20</f>
        <v>-2099.6</v>
      </c>
      <c r="D12" s="19">
        <f>-C26/20</f>
        <v>-1994.62</v>
      </c>
      <c r="E12" s="19">
        <f>-D26/20</f>
        <v>-1894.889</v>
      </c>
      <c r="F12" s="19">
        <f>-E26/20</f>
        <v>-1800.14455</v>
      </c>
    </row>
    <row r="13" ht="20.05" customHeight="1">
      <c r="B13" t="s" s="11">
        <v>12</v>
      </c>
      <c r="C13" s="18">
        <f>IF(C21&gt;0,-C21*0,0)</f>
        <v>0</v>
      </c>
      <c r="D13" s="19">
        <f>IF(D21&gt;0,-D21*0,0)</f>
        <v>0</v>
      </c>
      <c r="E13" s="19">
        <f>IF(E21&gt;0,-E21*0,0)</f>
        <v>0</v>
      </c>
      <c r="F13" s="19">
        <f>IF(F21&gt;0,-F21*0,0)</f>
        <v>0</v>
      </c>
    </row>
    <row r="14" ht="20.05" customHeight="1">
      <c r="B14" t="s" s="11">
        <v>13</v>
      </c>
      <c r="C14" s="18">
        <f>C9+C10+C12+C13</f>
        <v>-2125.832564984520</v>
      </c>
      <c r="D14" s="19">
        <f>D9+D10+D12+D13</f>
        <v>-2025.429239334680</v>
      </c>
      <c r="E14" s="19">
        <f>E9+E10+E12+E13</f>
        <v>-1893.981886088110</v>
      </c>
      <c r="F14" s="19">
        <f>F9+F10+F12+F13</f>
        <v>-1750.756724696920</v>
      </c>
    </row>
    <row r="15" ht="20.05" customHeight="1">
      <c r="B15" t="s" s="11">
        <v>14</v>
      </c>
      <c r="C15" s="18">
        <f>-MIN(0,C14)</f>
        <v>2125.832564984520</v>
      </c>
      <c r="D15" s="19">
        <f>-MIN(C27,D14)</f>
        <v>2025.429239334680</v>
      </c>
      <c r="E15" s="19">
        <f>-MIN(D27,E14)</f>
        <v>1893.981886088110</v>
      </c>
      <c r="F15" s="19">
        <f>-MIN(E27,F14)</f>
        <v>1750.756724696920</v>
      </c>
    </row>
    <row r="16" ht="20.05" customHeight="1">
      <c r="B16" t="s" s="11">
        <v>15</v>
      </c>
      <c r="C16" s="18">
        <f>'Balance sheet'!C30</f>
        <v>5314</v>
      </c>
      <c r="D16" s="19">
        <f>C18</f>
        <v>5314</v>
      </c>
      <c r="E16" s="19">
        <f>D18</f>
        <v>5314</v>
      </c>
      <c r="F16" s="19">
        <f>E18</f>
        <v>5314</v>
      </c>
    </row>
    <row r="17" ht="20.05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05" customHeight="1">
      <c r="B18" t="s" s="11">
        <v>17</v>
      </c>
      <c r="C18" s="18">
        <f>C16+C17</f>
        <v>5314</v>
      </c>
      <c r="D18" s="19">
        <f>D16+D17</f>
        <v>5314</v>
      </c>
      <c r="E18" s="19">
        <f>E16+E17</f>
        <v>5314</v>
      </c>
      <c r="F18" s="19">
        <f>F16+F17</f>
        <v>5314</v>
      </c>
    </row>
    <row r="19" ht="20.05" customHeight="1">
      <c r="B19" t="s" s="11">
        <v>18</v>
      </c>
      <c r="C19" s="18"/>
      <c r="D19" s="19"/>
      <c r="E19" s="19"/>
      <c r="F19" s="20"/>
    </row>
    <row r="20" ht="20.05" customHeight="1">
      <c r="B20" t="s" s="11">
        <v>19</v>
      </c>
      <c r="C20" s="18">
        <f>-'Sales'!E30</f>
        <v>-139.3</v>
      </c>
      <c r="D20" s="19">
        <f>C20</f>
        <v>-139.3</v>
      </c>
      <c r="E20" s="19">
        <f>D20</f>
        <v>-139.3</v>
      </c>
      <c r="F20" s="19">
        <f>E20</f>
        <v>-139.3</v>
      </c>
    </row>
    <row r="21" ht="20.05" customHeight="1">
      <c r="B21" t="s" s="11">
        <v>20</v>
      </c>
      <c r="C21" s="21">
        <f>C6+C8+C20</f>
        <v>318.367435015480</v>
      </c>
      <c r="D21" s="22">
        <f>D6+D8+D20</f>
        <v>313.790760665320</v>
      </c>
      <c r="E21" s="22">
        <f>E6+E8+E20</f>
        <v>345.507113911890</v>
      </c>
      <c r="F21" s="22">
        <f>F6+F8+F20</f>
        <v>393.987825303080</v>
      </c>
    </row>
    <row r="22" ht="20.05" customHeight="1">
      <c r="B22" t="s" s="11">
        <v>21</v>
      </c>
      <c r="C22" s="18"/>
      <c r="D22" s="19"/>
      <c r="E22" s="19"/>
      <c r="F22" s="19"/>
    </row>
    <row r="23" ht="20.05" customHeight="1">
      <c r="B23" t="s" s="11">
        <v>22</v>
      </c>
      <c r="C23" s="18">
        <f>'Balance sheet'!E30+'Balance sheet'!F30-C10</f>
        <v>54172.9</v>
      </c>
      <c r="D23" s="19">
        <f>C23-D10</f>
        <v>54656.8</v>
      </c>
      <c r="E23" s="19">
        <f>D23-E10</f>
        <v>55140.7</v>
      </c>
      <c r="F23" s="19">
        <f>E23-F10</f>
        <v>55624.6</v>
      </c>
    </row>
    <row r="24" ht="20.05" customHeight="1">
      <c r="B24" t="s" s="11">
        <v>23</v>
      </c>
      <c r="C24" s="18">
        <f>'Balance sheet'!F30-C20</f>
        <v>2948.3</v>
      </c>
      <c r="D24" s="19">
        <f>C24-D20</f>
        <v>3087.6</v>
      </c>
      <c r="E24" s="19">
        <f>D24-E20</f>
        <v>3226.9</v>
      </c>
      <c r="F24" s="19">
        <f>E24-F20</f>
        <v>3366.2</v>
      </c>
    </row>
    <row r="25" ht="20.05" customHeight="1">
      <c r="B25" t="s" s="11">
        <v>24</v>
      </c>
      <c r="C25" s="18">
        <f>C23-C24</f>
        <v>51224.6</v>
      </c>
      <c r="D25" s="19">
        <f>D23-D24</f>
        <v>51569.2</v>
      </c>
      <c r="E25" s="19">
        <f>E23-E24</f>
        <v>51913.8</v>
      </c>
      <c r="F25" s="19">
        <f>F23-F24</f>
        <v>52258.4</v>
      </c>
    </row>
    <row r="26" ht="20.05" customHeight="1">
      <c r="B26" t="s" s="11">
        <v>11</v>
      </c>
      <c r="C26" s="18">
        <f>'Balance sheet'!G30+C12</f>
        <v>39892.4</v>
      </c>
      <c r="D26" s="19">
        <f>C26+D12</f>
        <v>37897.78</v>
      </c>
      <c r="E26" s="19">
        <f>D26+E12</f>
        <v>36002.891</v>
      </c>
      <c r="F26" s="19">
        <f>E26+F12</f>
        <v>34202.74645</v>
      </c>
    </row>
    <row r="27" ht="20.05" customHeight="1">
      <c r="B27" t="s" s="11">
        <v>14</v>
      </c>
      <c r="C27" s="18">
        <f>C15</f>
        <v>2125.832564984520</v>
      </c>
      <c r="D27" s="19">
        <f>C27+D15</f>
        <v>4151.2618043192</v>
      </c>
      <c r="E27" s="19">
        <f>D27+E15</f>
        <v>6045.243690407310</v>
      </c>
      <c r="F27" s="19">
        <f>E27+F15</f>
        <v>7796.000415104230</v>
      </c>
    </row>
    <row r="28" ht="20.05" customHeight="1">
      <c r="B28" t="s" s="11">
        <v>25</v>
      </c>
      <c r="C28" s="18">
        <f>'Balance sheet'!H30+C21+C13</f>
        <v>14520.3674350155</v>
      </c>
      <c r="D28" s="19">
        <f>C28+D21+D13</f>
        <v>14834.1581956808</v>
      </c>
      <c r="E28" s="19">
        <f>D28+E21+E13</f>
        <v>15179.6653095927</v>
      </c>
      <c r="F28" s="19">
        <f>E28+F21+F13</f>
        <v>15573.6531348958</v>
      </c>
    </row>
    <row r="29" ht="20.05" customHeight="1">
      <c r="B29" t="s" s="11">
        <v>26</v>
      </c>
      <c r="C29" s="18">
        <f>C26+C27+C28-C18-C25</f>
        <v>2e-11</v>
      </c>
      <c r="D29" s="19">
        <f>D26+D27+D28-D18-D25</f>
        <v>0</v>
      </c>
      <c r="E29" s="19">
        <f>E26+E27+E28-E18-E25</f>
        <v>9.999999999999999e-12</v>
      </c>
      <c r="F29" s="19">
        <f>F26+F27+F28-F18-F25</f>
        <v>3e-11</v>
      </c>
    </row>
    <row r="30" ht="20.05" customHeight="1">
      <c r="B30" t="s" s="11">
        <v>27</v>
      </c>
      <c r="C30" s="18">
        <f>C18-C26-C27</f>
        <v>-36704.2325649845</v>
      </c>
      <c r="D30" s="19">
        <f>D18-D26-D27</f>
        <v>-36735.0418043192</v>
      </c>
      <c r="E30" s="19">
        <f>E18-E26-E27</f>
        <v>-36734.1346904073</v>
      </c>
      <c r="F30" s="19">
        <f>F18-F26-F27</f>
        <v>-36684.7468651042</v>
      </c>
    </row>
    <row r="31" ht="20.05" customHeight="1">
      <c r="B31" t="s" s="11">
        <v>28</v>
      </c>
      <c r="C31" s="18"/>
      <c r="D31" s="19"/>
      <c r="E31" s="19"/>
      <c r="F31" s="19"/>
    </row>
    <row r="32" ht="20.05" customHeight="1">
      <c r="B32" t="s" s="11">
        <v>29</v>
      </c>
      <c r="C32" s="18">
        <f>'Cashflow'!I30-C11</f>
        <v>-18545.8325649845</v>
      </c>
      <c r="D32" s="19">
        <f>C32-D11</f>
        <v>-18576.6418043192</v>
      </c>
      <c r="E32" s="19">
        <f>D32-E11</f>
        <v>-18575.7346904073</v>
      </c>
      <c r="F32" s="19">
        <f>E32-F11</f>
        <v>-18526.3468651042</v>
      </c>
    </row>
    <row r="33" ht="20.05" customHeight="1">
      <c r="B33" t="s" s="11">
        <v>30</v>
      </c>
      <c r="C33" s="18"/>
      <c r="D33" s="19"/>
      <c r="E33" s="19"/>
      <c r="F33" s="19">
        <v>7701</v>
      </c>
    </row>
    <row r="34" ht="20.05" customHeight="1">
      <c r="B34" t="s" s="11">
        <v>31</v>
      </c>
      <c r="C34" s="18"/>
      <c r="D34" s="19"/>
      <c r="E34" s="19"/>
      <c r="F34" s="23">
        <f>F33/(F18+F25)</f>
        <v>0.133762010963587</v>
      </c>
    </row>
    <row r="35" ht="20.05" customHeight="1">
      <c r="B35" t="s" s="11">
        <v>32</v>
      </c>
      <c r="C35" s="18"/>
      <c r="D35" s="19"/>
      <c r="E35" s="19"/>
      <c r="F35" s="17">
        <f>-(C13+D13+E13+F13)/F33</f>
        <v>0</v>
      </c>
    </row>
    <row r="36" ht="20.05" customHeight="1">
      <c r="B36" t="s" s="11">
        <v>33</v>
      </c>
      <c r="C36" s="18"/>
      <c r="D36" s="19"/>
      <c r="E36" s="19"/>
      <c r="F36" s="19">
        <f>SUM(F9:F10)*4</f>
        <v>197.551301212320</v>
      </c>
    </row>
    <row r="37" ht="20.05" customHeight="1">
      <c r="B37" t="s" s="11">
        <v>34</v>
      </c>
      <c r="C37" s="18"/>
      <c r="D37" s="19"/>
      <c r="E37" s="19"/>
      <c r="F37" s="19">
        <f>'Balance sheet'!E30/F36</f>
        <v>257.553352915232</v>
      </c>
    </row>
    <row r="38" ht="20.05" customHeight="1">
      <c r="B38" t="s" s="11">
        <v>28</v>
      </c>
      <c r="C38" s="18"/>
      <c r="D38" s="19"/>
      <c r="E38" s="19"/>
      <c r="F38" s="19">
        <f>F33/F36</f>
        <v>38.9822793003185</v>
      </c>
    </row>
    <row r="39" ht="20.05" customHeight="1">
      <c r="B39" t="s" s="11">
        <v>35</v>
      </c>
      <c r="C39" s="18"/>
      <c r="D39" s="19"/>
      <c r="E39" s="19"/>
      <c r="F39" s="19">
        <v>35</v>
      </c>
    </row>
    <row r="40" ht="20.05" customHeight="1">
      <c r="B40" t="s" s="11">
        <v>36</v>
      </c>
      <c r="C40" s="18"/>
      <c r="D40" s="19"/>
      <c r="E40" s="19"/>
      <c r="F40" s="19">
        <f>F36*F39</f>
        <v>6914.2955424312</v>
      </c>
    </row>
    <row r="41" ht="20.05" customHeight="1">
      <c r="B41" t="s" s="11">
        <v>37</v>
      </c>
      <c r="C41" s="18"/>
      <c r="D41" s="19"/>
      <c r="E41" s="19"/>
      <c r="F41" s="19">
        <f>F33/F43</f>
        <v>6.1855421686747</v>
      </c>
    </row>
    <row r="42" ht="20.05" customHeight="1">
      <c r="B42" t="s" s="11">
        <v>38</v>
      </c>
      <c r="C42" s="18"/>
      <c r="D42" s="19"/>
      <c r="E42" s="19"/>
      <c r="F42" s="19">
        <f>F40/F41</f>
        <v>1117.815601912330</v>
      </c>
    </row>
    <row r="43" ht="20.05" customHeight="1">
      <c r="B43" t="s" s="11">
        <v>39</v>
      </c>
      <c r="C43" s="18"/>
      <c r="D43" s="19"/>
      <c r="E43" s="19"/>
      <c r="F43" s="19">
        <f>'Share price'!C98</f>
        <v>1245</v>
      </c>
    </row>
    <row r="44" ht="20.05" customHeight="1">
      <c r="B44" t="s" s="11">
        <v>40</v>
      </c>
      <c r="C44" s="18"/>
      <c r="D44" s="19"/>
      <c r="E44" s="19"/>
      <c r="F44" s="17">
        <f>F42/F43-1</f>
        <v>-0.102156143042305</v>
      </c>
    </row>
    <row r="45" ht="20.05" customHeight="1">
      <c r="B45" t="s" s="11">
        <v>41</v>
      </c>
      <c r="C45" s="18"/>
      <c r="D45" s="19"/>
      <c r="E45" s="19"/>
      <c r="F45" s="17">
        <f>'Sales'!C30/'Sales'!C26-1</f>
        <v>0.452130013649607</v>
      </c>
    </row>
    <row r="46" ht="20.05" customHeight="1">
      <c r="B46" t="s" s="11">
        <v>42</v>
      </c>
      <c r="C46" s="18"/>
      <c r="D46" s="19"/>
      <c r="E46" s="19"/>
      <c r="F46" s="17">
        <f>('Sales'!D23+'Sales'!D24+'Sales'!D25+'Sales'!D26+'Sales'!D27+'Sales'!D28+'Sales'!D29)/('Sales'!C23+'Sales'!C24+'Sales'!C25+'Sales'!C26+'Sales'!C27+'Sales'!C28+'Sales'!C29)-1</f>
        <v>0.143319355308699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75" style="24" customWidth="1"/>
    <col min="2" max="2" width="11.0781" style="24" customWidth="1"/>
    <col min="3" max="3" width="8.69531" style="24" customWidth="1"/>
    <col min="4" max="4" width="9.50781" style="24" customWidth="1"/>
    <col min="5" max="5" width="8.49219" style="24" customWidth="1"/>
    <col min="6" max="6" width="10.2109" style="24" customWidth="1"/>
    <col min="7" max="10" width="10.8594" style="24" customWidth="1"/>
    <col min="11" max="16384" width="16.3516" style="24" customWidth="1"/>
  </cols>
  <sheetData>
    <row r="1" ht="20.7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43</v>
      </c>
      <c r="F3" t="s" s="5">
        <v>20</v>
      </c>
      <c r="G3" t="s" s="5">
        <v>44</v>
      </c>
      <c r="H3" t="s" s="5">
        <v>45</v>
      </c>
      <c r="I3" t="s" s="5">
        <v>46</v>
      </c>
      <c r="J3" t="s" s="5">
        <v>46</v>
      </c>
    </row>
    <row r="4" ht="20.25" customHeight="1">
      <c r="B4" s="25">
        <v>2015</v>
      </c>
      <c r="C4" s="26">
        <v>1981.7</v>
      </c>
      <c r="D4" s="27"/>
      <c r="E4" s="28">
        <v>17</v>
      </c>
      <c r="F4" s="28">
        <v>93.59999999999999</v>
      </c>
      <c r="G4" s="10"/>
      <c r="H4" s="29">
        <f>(E4+F4-C4)/C4</f>
        <v>-0.944189332391381</v>
      </c>
      <c r="I4" s="29"/>
      <c r="J4" s="29"/>
    </row>
    <row r="5" ht="20.05" customHeight="1">
      <c r="B5" s="30"/>
      <c r="C5" s="14">
        <v>3239.7</v>
      </c>
      <c r="D5" s="20"/>
      <c r="E5" s="15">
        <v>15</v>
      </c>
      <c r="F5" s="15">
        <v>117.2</v>
      </c>
      <c r="G5" s="17">
        <f>C5/C4-1</f>
        <v>0.634808497754453</v>
      </c>
      <c r="H5" s="17">
        <f>(E5+F5-C5)/C5</f>
        <v>-0.959193752507948</v>
      </c>
      <c r="I5" s="17"/>
      <c r="J5" s="17"/>
    </row>
    <row r="6" ht="20.05" customHeight="1">
      <c r="B6" s="30"/>
      <c r="C6" s="14">
        <v>3553.2</v>
      </c>
      <c r="D6" s="20"/>
      <c r="E6" s="15">
        <v>18</v>
      </c>
      <c r="F6" s="15">
        <v>239.4</v>
      </c>
      <c r="G6" s="17">
        <f>C6/C5-1</f>
        <v>0.0967682192795629</v>
      </c>
      <c r="H6" s="17">
        <f>(E6+F6-C6)/C6</f>
        <v>-0.927558257345491</v>
      </c>
      <c r="I6" s="17"/>
      <c r="J6" s="17"/>
    </row>
    <row r="7" ht="20.05" customHeight="1">
      <c r="B7" s="30"/>
      <c r="C7" s="14">
        <v>5442.4</v>
      </c>
      <c r="D7" s="20"/>
      <c r="E7" s="15">
        <v>31</v>
      </c>
      <c r="F7" s="15">
        <v>394.8</v>
      </c>
      <c r="G7" s="17">
        <f>C7/C6-1</f>
        <v>0.5316897444557021</v>
      </c>
      <c r="H7" s="17">
        <f>(E7+F7-C7)/C7</f>
        <v>-0.921762457739233</v>
      </c>
      <c r="I7" s="17"/>
      <c r="J7" s="17"/>
    </row>
    <row r="8" ht="20.05" customHeight="1">
      <c r="B8" s="31">
        <v>2016</v>
      </c>
      <c r="C8" s="14">
        <v>2587.6</v>
      </c>
      <c r="D8" s="20"/>
      <c r="E8" s="15">
        <v>21</v>
      </c>
      <c r="F8" s="15">
        <v>129.9</v>
      </c>
      <c r="G8" s="17">
        <f>C8/C7-1</f>
        <v>-0.524547993532265</v>
      </c>
      <c r="H8" s="17">
        <f>(E8+F8-C8)/C8</f>
        <v>-0.941683413201422</v>
      </c>
      <c r="I8" s="17"/>
      <c r="J8" s="17">
        <f>('Cashflow'!D8-'Cashflow'!C8)/'Cashflow'!C8</f>
        <v>-1.50705080921595</v>
      </c>
    </row>
    <row r="9" ht="20.05" customHeight="1">
      <c r="B9" s="30"/>
      <c r="C9" s="14">
        <v>3884.5</v>
      </c>
      <c r="D9" s="20"/>
      <c r="E9" s="15">
        <v>20</v>
      </c>
      <c r="F9" s="15">
        <v>280.5</v>
      </c>
      <c r="G9" s="17">
        <f>C9/C8-1</f>
        <v>0.501198021332509</v>
      </c>
      <c r="H9" s="17">
        <f>(E9+F9-C9)/C9</f>
        <v>-0.922641266572274</v>
      </c>
      <c r="I9" s="17"/>
      <c r="J9" s="17">
        <f>('Cashflow'!D9-'Cashflow'!C9)/'Cashflow'!C9</f>
        <v>-1.25904275625119</v>
      </c>
    </row>
    <row r="10" ht="20.05" customHeight="1">
      <c r="B10" s="30"/>
      <c r="C10" s="14">
        <v>4373.5</v>
      </c>
      <c r="D10" s="20"/>
      <c r="E10" s="15">
        <v>24</v>
      </c>
      <c r="F10" s="15">
        <v>247.6</v>
      </c>
      <c r="G10" s="17">
        <f>C10/C9-1</f>
        <v>0.125884927275068</v>
      </c>
      <c r="H10" s="17">
        <f>(E10+F10-C10)/C10</f>
        <v>-0.937898708128501</v>
      </c>
      <c r="I10" s="17"/>
      <c r="J10" s="17">
        <f>('Cashflow'!D10-'Cashflow'!C10)/'Cashflow'!C10</f>
        <v>-0.827374281479339</v>
      </c>
    </row>
    <row r="11" ht="20.05" customHeight="1">
      <c r="B11" s="30"/>
      <c r="C11" s="14">
        <v>5613.2</v>
      </c>
      <c r="D11" s="20"/>
      <c r="E11" s="15">
        <v>38</v>
      </c>
      <c r="F11" s="15">
        <v>493</v>
      </c>
      <c r="G11" s="17">
        <f>C11/C10-1</f>
        <v>0.283457185320681</v>
      </c>
      <c r="H11" s="17">
        <f>(E11+F11-C11)/C11</f>
        <v>-0.90540155348108</v>
      </c>
      <c r="I11" s="17"/>
      <c r="J11" s="17">
        <f>('Cashflow'!D11-'Cashflow'!C11)/'Cashflow'!C11</f>
        <v>-0.552010893352137</v>
      </c>
    </row>
    <row r="12" ht="20.05" customHeight="1">
      <c r="B12" s="31">
        <v>2017</v>
      </c>
      <c r="C12" s="14">
        <v>2917.1</v>
      </c>
      <c r="D12" s="20"/>
      <c r="E12" s="15">
        <v>77</v>
      </c>
      <c r="F12" s="15">
        <v>161.5</v>
      </c>
      <c r="G12" s="17">
        <f>C12/C11-1</f>
        <v>-0.480314259246063</v>
      </c>
      <c r="H12" s="17">
        <f>(E12+F12-C12)/C12</f>
        <v>-0.91824071852182</v>
      </c>
      <c r="I12" s="17">
        <f>AVERAGE(J9:J12)</f>
        <v>-1.02661343111353</v>
      </c>
      <c r="J12" s="17">
        <f>('Cashflow'!D12-'Cashflow'!C12)/'Cashflow'!C12</f>
        <v>-1.46802579337144</v>
      </c>
    </row>
    <row r="13" ht="20.05" customHeight="1">
      <c r="B13" s="30"/>
      <c r="C13" s="14">
        <v>5208.9</v>
      </c>
      <c r="D13" s="20"/>
      <c r="E13" s="15">
        <v>75</v>
      </c>
      <c r="F13" s="15">
        <v>470.3</v>
      </c>
      <c r="G13" s="17">
        <f>C13/C12-1</f>
        <v>0.785643275856159</v>
      </c>
      <c r="H13" s="17">
        <f>(E13+F13-C13)/C13</f>
        <v>-0.895313789859663</v>
      </c>
      <c r="I13" s="17">
        <f>AVERAGE(J10:J13)</f>
        <v>-0.998433745399039</v>
      </c>
      <c r="J13" s="17">
        <f>('Cashflow'!D13-'Cashflow'!C13)/'Cashflow'!C13</f>
        <v>-1.14632401339324</v>
      </c>
    </row>
    <row r="14" ht="20.05" customHeight="1">
      <c r="B14" s="30"/>
      <c r="C14" s="14">
        <v>5635.5</v>
      </c>
      <c r="D14" s="20"/>
      <c r="E14" s="15">
        <v>86</v>
      </c>
      <c r="F14" s="15">
        <v>486.6</v>
      </c>
      <c r="G14" s="17">
        <f>C14/C13-1</f>
        <v>0.0818982894661061</v>
      </c>
      <c r="H14" s="17">
        <f>(E14+F14-C14)/C14</f>
        <v>-0.898394108774732</v>
      </c>
      <c r="I14" s="17">
        <f>AVERAGE(J11:J14)</f>
        <v>-1.00715963764899</v>
      </c>
      <c r="J14" s="17">
        <f>('Cashflow'!D14-'Cashflow'!C14)/'Cashflow'!C14</f>
        <v>-0.862277850479125</v>
      </c>
    </row>
    <row r="15" ht="20.05" customHeight="1">
      <c r="B15" s="30"/>
      <c r="C15" s="14">
        <v>7740.5</v>
      </c>
      <c r="D15" s="20"/>
      <c r="E15" s="15">
        <v>57</v>
      </c>
      <c r="F15" s="15">
        <v>605.4</v>
      </c>
      <c r="G15" s="17">
        <f>C15/C14-1</f>
        <v>0.3735249756011</v>
      </c>
      <c r="H15" s="17">
        <f>(E15+F15-C15)/C15</f>
        <v>-0.914424132807958</v>
      </c>
      <c r="I15" s="17">
        <f>AVERAGE(J12:J15)</f>
        <v>-0.95890683911652</v>
      </c>
      <c r="J15" s="17">
        <f>('Cashflow'!D15-'Cashflow'!C15)/'Cashflow'!C15</f>
        <v>-0.358999699222275</v>
      </c>
    </row>
    <row r="16" ht="20.05" customHeight="1">
      <c r="B16" s="31">
        <v>2018</v>
      </c>
      <c r="C16" s="14">
        <v>3683.2</v>
      </c>
      <c r="D16" s="20"/>
      <c r="E16" s="15">
        <v>105</v>
      </c>
      <c r="F16" s="15">
        <v>204.27</v>
      </c>
      <c r="G16" s="17">
        <f>C16/C15-1</f>
        <v>-0.524165105613332</v>
      </c>
      <c r="H16" s="17">
        <f>(E16+F16-C16)/C16</f>
        <v>-0.916032254561251</v>
      </c>
      <c r="I16" s="17">
        <f>AVERAGE(J13:J16)</f>
        <v>-0.952904394926115</v>
      </c>
      <c r="J16" s="17">
        <f>('Cashflow'!D16-'Cashflow'!C16)/'Cashflow'!C16</f>
        <v>-1.44401601660982</v>
      </c>
    </row>
    <row r="17" ht="20.05" customHeight="1">
      <c r="B17" s="30"/>
      <c r="C17" s="14">
        <v>5823.8</v>
      </c>
      <c r="D17" s="20"/>
      <c r="E17" s="15">
        <v>81</v>
      </c>
      <c r="F17" s="15">
        <v>428.73</v>
      </c>
      <c r="G17" s="17">
        <f>C17/C16-1</f>
        <v>0.581179409209383</v>
      </c>
      <c r="H17" s="17">
        <f>(E17+F17-C17)/C17</f>
        <v>-0.912474672893987</v>
      </c>
      <c r="I17" s="17">
        <f>AVERAGE(J14:J17)</f>
        <v>-0.957326239693153</v>
      </c>
      <c r="J17" s="17">
        <f>('Cashflow'!D17-'Cashflow'!C17)/'Cashflow'!C17</f>
        <v>-1.16401139246139</v>
      </c>
    </row>
    <row r="18" ht="20.05" customHeight="1">
      <c r="B18" s="30"/>
      <c r="C18" s="14">
        <v>5279.9</v>
      </c>
      <c r="D18" s="20"/>
      <c r="E18" s="15">
        <v>182</v>
      </c>
      <c r="F18" s="15">
        <v>488</v>
      </c>
      <c r="G18" s="17">
        <f>C18/C17-1</f>
        <v>-0.09339263024142309</v>
      </c>
      <c r="H18" s="17">
        <f>(E18+F18-C18)/C18</f>
        <v>-0.873103657266236</v>
      </c>
      <c r="I18" s="17">
        <f>AVERAGE(J15:J18)</f>
        <v>-0.953674098636511</v>
      </c>
      <c r="J18" s="17">
        <f>('Cashflow'!D18-'Cashflow'!C18)/'Cashflow'!C18</f>
        <v>-0.847669286252557</v>
      </c>
    </row>
    <row r="19" ht="20.05" customHeight="1">
      <c r="B19" s="30"/>
      <c r="C19" s="14">
        <v>10332.6</v>
      </c>
      <c r="D19" s="20"/>
      <c r="E19" s="15">
        <v>339</v>
      </c>
      <c r="F19" s="15">
        <v>837.9</v>
      </c>
      <c r="G19" s="17">
        <f>C19/C18-1</f>
        <v>0.956968881986401</v>
      </c>
      <c r="H19" s="17">
        <f>(E19+F19-C19)/C19</f>
        <v>-0.886098368271297</v>
      </c>
      <c r="I19" s="17">
        <f>AVERAGE(J16:J19)</f>
        <v>-1.03852433519016</v>
      </c>
      <c r="J19" s="17">
        <f>('Cashflow'!D19-'Cashflow'!C19)/'Cashflow'!C19</f>
        <v>-0.698400645436856</v>
      </c>
    </row>
    <row r="20" ht="20.05" customHeight="1">
      <c r="B20" s="31">
        <v>2019</v>
      </c>
      <c r="C20" s="14">
        <v>4948</v>
      </c>
      <c r="D20" s="20"/>
      <c r="E20" s="15">
        <v>121</v>
      </c>
      <c r="F20" s="15">
        <v>233.3</v>
      </c>
      <c r="G20" s="17">
        <f>C20/C19-1</f>
        <v>-0.521127305808799</v>
      </c>
      <c r="H20" s="17">
        <f>(E20+F20-C20)/C20</f>
        <v>-0.928395311236863</v>
      </c>
      <c r="I20" s="17">
        <f>AVERAGE(J17:J20)</f>
        <v>-1.02557596320349</v>
      </c>
      <c r="J20" s="17">
        <f>('Cashflow'!D20-'Cashflow'!C20)/'Cashflow'!C20</f>
        <v>-1.39222252866317</v>
      </c>
    </row>
    <row r="21" ht="20.05" customHeight="1">
      <c r="B21" s="30"/>
      <c r="C21" s="14">
        <v>5691.6</v>
      </c>
      <c r="D21" s="20"/>
      <c r="E21" s="15">
        <v>97</v>
      </c>
      <c r="F21" s="15">
        <v>245.3</v>
      </c>
      <c r="G21" s="17">
        <f>C21/C20-1</f>
        <v>0.150282942603072</v>
      </c>
      <c r="H21" s="17">
        <f>(E21+F21-C21)/C21</f>
        <v>-0.9398587391946031</v>
      </c>
      <c r="I21" s="17">
        <f>AVERAGE(J18:J21)</f>
        <v>-1.05543447191248</v>
      </c>
      <c r="J21" s="17">
        <f>('Cashflow'!D21-'Cashflow'!C21)/'Cashflow'!C21</f>
        <v>-1.28344542729732</v>
      </c>
    </row>
    <row r="22" ht="20.05" customHeight="1">
      <c r="B22" s="30"/>
      <c r="C22" s="14">
        <v>5423.1</v>
      </c>
      <c r="D22" s="20"/>
      <c r="E22" s="15">
        <v>238</v>
      </c>
      <c r="F22" s="15">
        <v>248.3</v>
      </c>
      <c r="G22" s="17">
        <f>C22/C21-1</f>
        <v>-0.0471747838920514</v>
      </c>
      <c r="H22" s="17">
        <f>(E22+F22-C22)/C22</f>
        <v>-0.9103280411572719</v>
      </c>
      <c r="I22" s="17">
        <f>AVERAGE(J19:J22)</f>
        <v>-1.11411853498809</v>
      </c>
      <c r="J22" s="17">
        <f>('Cashflow'!D22-'Cashflow'!C22)/'Cashflow'!C22</f>
        <v>-1.08240553855503</v>
      </c>
    </row>
    <row r="23" ht="20.05" customHeight="1">
      <c r="B23" s="30"/>
      <c r="C23" s="14">
        <v>8597.299999999999</v>
      </c>
      <c r="D23" s="15">
        <v>9299.34</v>
      </c>
      <c r="E23" s="15">
        <v>124</v>
      </c>
      <c r="F23" s="15">
        <v>481.1</v>
      </c>
      <c r="G23" s="17">
        <f>C23/C22-1</f>
        <v>0.585310984492265</v>
      </c>
      <c r="H23" s="17">
        <f>(E23+F23-C23)/C23</f>
        <v>-0.929617438032871</v>
      </c>
      <c r="I23" s="17">
        <f>AVERAGE(J20:J23)</f>
        <v>-1.07591845973835</v>
      </c>
      <c r="J23" s="17">
        <f>('Cashflow'!D23-'Cashflow'!C23)/'Cashflow'!C23</f>
        <v>-0.545600344437867</v>
      </c>
    </row>
    <row r="24" ht="20.05" customHeight="1">
      <c r="B24" s="31">
        <v>2020</v>
      </c>
      <c r="C24" s="14">
        <v>3409</v>
      </c>
      <c r="D24" s="15">
        <v>4453.2</v>
      </c>
      <c r="E24" s="15">
        <v>228</v>
      </c>
      <c r="F24" s="15">
        <v>25</v>
      </c>
      <c r="G24" s="17">
        <f>C24/C23-1</f>
        <v>-0.60348016237656</v>
      </c>
      <c r="H24" s="17">
        <f>(E24+F24-C24)/C24</f>
        <v>-0.925784687591669</v>
      </c>
      <c r="I24" s="17">
        <f>AVERAGE(J21:J24)</f>
        <v>-1.08230746361678</v>
      </c>
      <c r="J24" s="17">
        <f>('Cashflow'!D24-'Cashflow'!C24)/'Cashflow'!C24</f>
        <v>-1.41777854417692</v>
      </c>
    </row>
    <row r="25" ht="20.05" customHeight="1">
      <c r="B25" s="30"/>
      <c r="C25" s="14">
        <v>3336.9</v>
      </c>
      <c r="D25" s="15">
        <v>3130.38</v>
      </c>
      <c r="E25" s="15">
        <v>106</v>
      </c>
      <c r="F25" s="15">
        <v>5.3</v>
      </c>
      <c r="G25" s="17">
        <f>C25/C24-1</f>
        <v>-0.0211498973305955</v>
      </c>
      <c r="H25" s="17">
        <f>(E25+F25-C25)/C25</f>
        <v>-0.966645689112649</v>
      </c>
      <c r="I25" s="17">
        <f>AVERAGE(J22:J25)</f>
        <v>-1.27139267046633</v>
      </c>
      <c r="J25" s="17">
        <f>('Cashflow'!D25-'Cashflow'!C25)/'Cashflow'!C25</f>
        <v>-2.03978625469552</v>
      </c>
    </row>
    <row r="26" ht="20.05" customHeight="1">
      <c r="B26" s="30"/>
      <c r="C26" s="14">
        <f>10019.987-SUM(C24:C25)</f>
        <v>3274.087</v>
      </c>
      <c r="D26" s="15">
        <v>4609.635</v>
      </c>
      <c r="E26" s="15">
        <v>161.5</v>
      </c>
      <c r="F26" s="15">
        <f>50.1-SUM(F24:F25)</f>
        <v>19.8</v>
      </c>
      <c r="G26" s="17">
        <f>C26/C25-1</f>
        <v>-0.0188237585783212</v>
      </c>
      <c r="H26" s="17">
        <f>(E26+F26-C26)/C26</f>
        <v>-0.944625784226259</v>
      </c>
      <c r="I26" s="17">
        <f>AVERAGE(J23:J26)</f>
        <v>-1.26316305291326</v>
      </c>
      <c r="J26" s="17">
        <f>('Cashflow'!D26-'Cashflow'!C26)/'Cashflow'!C26</f>
        <v>-1.04948706834273</v>
      </c>
    </row>
    <row r="27" ht="20.05" customHeight="1">
      <c r="B27" s="30"/>
      <c r="C27" s="14">
        <f>15831.4-SUM(C24:C26)</f>
        <v>5811.413</v>
      </c>
      <c r="D27" s="15">
        <v>5304.02094</v>
      </c>
      <c r="E27" s="15">
        <v>245.6</v>
      </c>
      <c r="F27" s="15">
        <f>266.3-SUM(F24:F26)</f>
        <v>216.2</v>
      </c>
      <c r="G27" s="17">
        <f>C27/C26-1</f>
        <v>0.774972076184903</v>
      </c>
      <c r="H27" s="17">
        <f>(E27+F27-C27)/C27</f>
        <v>-0.920535676951543</v>
      </c>
      <c r="I27" s="17">
        <f>AVERAGE(J24:J27)</f>
        <v>-1.2337334222635</v>
      </c>
      <c r="J27" s="17">
        <f>('Cashflow'!D27-'Cashflow'!C27)/'Cashflow'!C27</f>
        <v>-0.427881821838824</v>
      </c>
    </row>
    <row r="28" ht="20.05" customHeight="1">
      <c r="B28" s="31">
        <v>2021</v>
      </c>
      <c r="C28" s="14">
        <v>2838.7</v>
      </c>
      <c r="D28" s="15">
        <v>4258.05</v>
      </c>
      <c r="E28" s="15">
        <f>135.1+1.4+4.6+(32.7-27.2)+(27.5-27.1)+61.8</f>
        <v>208.8</v>
      </c>
      <c r="F28" s="15">
        <v>47.1</v>
      </c>
      <c r="G28" s="17">
        <f>C28/C27-1</f>
        <v>-0.511530156263201</v>
      </c>
      <c r="H28" s="17">
        <f>(E28+F28-C28)/C28</f>
        <v>-0.909853101771938</v>
      </c>
      <c r="I28" s="17">
        <f>AVERAGE(J25:J28)</f>
        <v>-1.20128425107188</v>
      </c>
      <c r="J28" s="17">
        <f>('Cashflow'!D28-'Cashflow'!C28)/'Cashflow'!C28</f>
        <v>-1.28798185941043</v>
      </c>
    </row>
    <row r="29" ht="20.05" customHeight="1">
      <c r="B29" s="30"/>
      <c r="C29" s="14">
        <f>6457.4-C28</f>
        <v>3618.7</v>
      </c>
      <c r="D29" s="15">
        <v>4258.05</v>
      </c>
      <c r="E29" s="15">
        <f>30.5+10.5+2.8+267.1+(37-28.3)+(27.8-27.1-E28)</f>
        <v>111.5</v>
      </c>
      <c r="F29" s="15">
        <f>110.2-F28</f>
        <v>63.1</v>
      </c>
      <c r="G29" s="17">
        <f>C29/C28-1</f>
        <v>0.274773664001127</v>
      </c>
      <c r="H29" s="17">
        <f>(E29+F29-C29)/C29</f>
        <v>-0.951750628678807</v>
      </c>
      <c r="I29" s="17">
        <f>AVERAGE(J26:J29)</f>
        <v>-0.950237671117539</v>
      </c>
      <c r="J29" s="17">
        <f>('Cashflow'!D29-'Cashflow'!C29)/'Cashflow'!C29</f>
        <v>-1.03559993487817</v>
      </c>
    </row>
    <row r="30" ht="20.05" customHeight="1">
      <c r="B30" s="30"/>
      <c r="C30" s="14">
        <f>11211.8-SUM(C28:C29)</f>
        <v>4754.4</v>
      </c>
      <c r="D30" s="15">
        <v>3546.326</v>
      </c>
      <c r="E30" s="15">
        <f>45.9+(41.4-28.3)+(28.1-27.1)+16.7+382.9-SUM(E28:E29)</f>
        <v>139.3</v>
      </c>
      <c r="F30" s="15">
        <f>204.8-SUM(F28:F29)</f>
        <v>94.59999999999999</v>
      </c>
      <c r="G30" s="17">
        <f>C30/C29-1</f>
        <v>0.313841987454058</v>
      </c>
      <c r="H30" s="17">
        <f>(E30+F30-C30)/C30</f>
        <v>-0.95080346626283</v>
      </c>
      <c r="I30" s="17">
        <f>AVERAGE(J27:J30)</f>
        <v>-0.931241521385382</v>
      </c>
      <c r="J30" s="17">
        <f>('Cashflow'!D30-'Cashflow'!C30)/'Cashflow'!C30</f>
        <v>-0.973502469414103</v>
      </c>
    </row>
    <row r="31" ht="20.05" customHeight="1">
      <c r="B31" s="30"/>
      <c r="C31" s="14"/>
      <c r="D31" s="15">
        <f>'Model'!C6</f>
        <v>6656.16</v>
      </c>
      <c r="E31" s="20"/>
      <c r="F31" s="15"/>
      <c r="G31" s="13"/>
      <c r="H31" s="13">
        <f>'Model'!C7</f>
        <v>-0.931241521385382</v>
      </c>
      <c r="I31" s="17"/>
      <c r="J31" s="17"/>
    </row>
    <row r="32" ht="20.05" customHeight="1">
      <c r="B32" s="31">
        <v>2022</v>
      </c>
      <c r="C32" s="14"/>
      <c r="D32" s="15">
        <f>'Model'!D6</f>
        <v>6589.5984</v>
      </c>
      <c r="E32" s="20"/>
      <c r="F32" s="15"/>
      <c r="G32" s="13"/>
      <c r="H32" s="13"/>
      <c r="I32" s="17"/>
      <c r="J32" s="17"/>
    </row>
    <row r="33" ht="20.05" customHeight="1">
      <c r="B33" s="30"/>
      <c r="C33" s="14"/>
      <c r="D33" s="15">
        <f>'Model'!E6</f>
        <v>7050.870288</v>
      </c>
      <c r="E33" s="20"/>
      <c r="F33" s="15"/>
      <c r="G33" s="13"/>
      <c r="H33" s="13"/>
      <c r="I33" s="17"/>
      <c r="J33" s="17"/>
    </row>
    <row r="34" ht="20.05" customHeight="1">
      <c r="B34" s="30"/>
      <c r="C34" s="14"/>
      <c r="D34" s="15">
        <f>'Model'!F6</f>
        <v>7755.9573168</v>
      </c>
      <c r="E34" s="20"/>
      <c r="F34" s="15"/>
      <c r="G34" s="13"/>
      <c r="H34" s="13"/>
      <c r="I34" s="17"/>
      <c r="J34" s="17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0469" style="32" customWidth="1"/>
    <col min="2" max="2" width="8.92969" style="32" customWidth="1"/>
    <col min="3" max="3" width="11.4688" style="32" customWidth="1"/>
    <col min="4" max="4" width="11.1328" style="32" customWidth="1"/>
    <col min="5" max="5" width="10.9375" style="32" customWidth="1"/>
    <col min="6" max="9" width="10.2344" style="32" customWidth="1"/>
    <col min="10" max="16384" width="16.3516" style="32" customWidth="1"/>
  </cols>
  <sheetData>
    <row r="1" ht="16.6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10</v>
      </c>
      <c r="G3" t="s" s="5">
        <v>50</v>
      </c>
      <c r="H3" t="s" s="5">
        <v>33</v>
      </c>
      <c r="I3" t="s" s="5">
        <v>29</v>
      </c>
    </row>
    <row r="4" ht="20.25" customHeight="1">
      <c r="B4" s="25">
        <v>2015</v>
      </c>
      <c r="C4" s="33">
        <v>2138.4</v>
      </c>
      <c r="D4" s="34">
        <v>-955.6</v>
      </c>
      <c r="E4" s="34">
        <v>-38</v>
      </c>
      <c r="F4" s="34">
        <v>-372.2</v>
      </c>
      <c r="G4" s="34">
        <f>D4+E4</f>
        <v>-993.6</v>
      </c>
      <c r="H4" s="34"/>
      <c r="I4" s="34">
        <f>-F4</f>
        <v>372.2</v>
      </c>
    </row>
    <row r="5" ht="20.05" customHeight="1">
      <c r="B5" s="30"/>
      <c r="C5" s="18">
        <v>3179.5</v>
      </c>
      <c r="D5" s="19">
        <v>-1243.9</v>
      </c>
      <c r="E5" s="19">
        <v>-99.09999999999999</v>
      </c>
      <c r="F5" s="19">
        <v>2287.6</v>
      </c>
      <c r="G5" s="19">
        <f>D5+E5</f>
        <v>-1343</v>
      </c>
      <c r="H5" s="19"/>
      <c r="I5" s="19">
        <f>-F5+I4</f>
        <v>-1915.4</v>
      </c>
    </row>
    <row r="6" ht="20.05" customHeight="1">
      <c r="B6" s="30"/>
      <c r="C6" s="18">
        <v>3223.9</v>
      </c>
      <c r="D6" s="19">
        <v>305</v>
      </c>
      <c r="E6" s="19">
        <v>-153.2</v>
      </c>
      <c r="F6" s="19">
        <v>-459.4</v>
      </c>
      <c r="G6" s="19">
        <f>D6+E6</f>
        <v>151.8</v>
      </c>
      <c r="H6" s="19"/>
      <c r="I6" s="19">
        <f>-F6+I5</f>
        <v>-1456</v>
      </c>
    </row>
    <row r="7" ht="20.05" customHeight="1">
      <c r="B7" s="30"/>
      <c r="C7" s="18">
        <v>5320.7</v>
      </c>
      <c r="D7" s="19">
        <v>1920.5</v>
      </c>
      <c r="E7" s="19">
        <v>-371.7</v>
      </c>
      <c r="F7" s="19">
        <v>-274</v>
      </c>
      <c r="G7" s="19">
        <f>D7+E7</f>
        <v>1548.8</v>
      </c>
      <c r="H7" s="19"/>
      <c r="I7" s="19">
        <f>-F7+I6</f>
        <v>-1182</v>
      </c>
    </row>
    <row r="8" ht="20.05" customHeight="1">
      <c r="B8" s="31">
        <v>2016</v>
      </c>
      <c r="C8" s="18">
        <v>2304.7</v>
      </c>
      <c r="D8" s="19">
        <v>-1168.6</v>
      </c>
      <c r="E8" s="19">
        <v>-103.3</v>
      </c>
      <c r="F8" s="19">
        <v>-432.9</v>
      </c>
      <c r="G8" s="19">
        <f>D8+E8</f>
        <v>-1271.9</v>
      </c>
      <c r="H8" s="19">
        <f>AVERAGE(G5:G8)</f>
        <v>-228.575</v>
      </c>
      <c r="I8" s="19">
        <f>-F8+I7</f>
        <v>-749.1</v>
      </c>
    </row>
    <row r="9" ht="20.05" customHeight="1">
      <c r="B9" s="30"/>
      <c r="C9" s="18">
        <v>4191.2</v>
      </c>
      <c r="D9" s="19">
        <v>-1085.7</v>
      </c>
      <c r="E9" s="19">
        <v>-357.8</v>
      </c>
      <c r="F9" s="19">
        <v>2289.7</v>
      </c>
      <c r="G9" s="19">
        <f>D9+E9</f>
        <v>-1443.5</v>
      </c>
      <c r="H9" s="19">
        <f>AVERAGE(G6:G9)</f>
        <v>-253.7</v>
      </c>
      <c r="I9" s="19">
        <f>-F9+I8</f>
        <v>-3038.8</v>
      </c>
    </row>
    <row r="10" ht="20.05" customHeight="1">
      <c r="B10" s="30"/>
      <c r="C10" s="18">
        <v>2766.1</v>
      </c>
      <c r="D10" s="19">
        <v>477.5</v>
      </c>
      <c r="E10" s="19">
        <v>-171.4</v>
      </c>
      <c r="F10" s="19">
        <v>-148.8</v>
      </c>
      <c r="G10" s="19">
        <f>D10+E10</f>
        <v>306.1</v>
      </c>
      <c r="H10" s="19">
        <f>AVERAGE(G7:G10)</f>
        <v>-215.125</v>
      </c>
      <c r="I10" s="19">
        <f>-F10+I9</f>
        <v>-2890</v>
      </c>
    </row>
    <row r="11" ht="20.05" customHeight="1">
      <c r="B11" s="30"/>
      <c r="C11" s="18">
        <v>6168.9</v>
      </c>
      <c r="D11" s="19">
        <v>2763.6</v>
      </c>
      <c r="E11" s="19">
        <v>-1193.7</v>
      </c>
      <c r="F11" s="19">
        <v>5191</v>
      </c>
      <c r="G11" s="19">
        <f>D11+E11</f>
        <v>1569.9</v>
      </c>
      <c r="H11" s="19">
        <f>AVERAGE(G8:G11)</f>
        <v>-209.85</v>
      </c>
      <c r="I11" s="19">
        <f>-F11+I10</f>
        <v>-8081</v>
      </c>
    </row>
    <row r="12" ht="20.05" customHeight="1">
      <c r="B12" s="31">
        <v>2017</v>
      </c>
      <c r="C12" s="18">
        <v>3551.3</v>
      </c>
      <c r="D12" s="19">
        <v>-1662.1</v>
      </c>
      <c r="E12" s="19">
        <v>-364.5</v>
      </c>
      <c r="F12" s="19">
        <v>-500.3</v>
      </c>
      <c r="G12" s="19">
        <f>D12+E12</f>
        <v>-2026.6</v>
      </c>
      <c r="H12" s="19">
        <f>AVERAGE(G9:G12)</f>
        <v>-398.525</v>
      </c>
      <c r="I12" s="19">
        <f>-F12+I11</f>
        <v>-7580.7</v>
      </c>
    </row>
    <row r="13" ht="20.05" customHeight="1">
      <c r="B13" s="30"/>
      <c r="C13" s="18">
        <v>3494.3</v>
      </c>
      <c r="D13" s="19">
        <v>-511.3</v>
      </c>
      <c r="E13" s="19">
        <v>-866.9</v>
      </c>
      <c r="F13" s="19">
        <v>1445.1</v>
      </c>
      <c r="G13" s="19">
        <f>D13+E13</f>
        <v>-1378.2</v>
      </c>
      <c r="H13" s="19">
        <f>AVERAGE(G10:G13)</f>
        <v>-382.2</v>
      </c>
      <c r="I13" s="19">
        <f>-F13+I12</f>
        <v>-9025.799999999999</v>
      </c>
    </row>
    <row r="14" ht="20.05" customHeight="1">
      <c r="B14" s="30"/>
      <c r="C14" s="18">
        <v>4737.8</v>
      </c>
      <c r="D14" s="19">
        <v>652.5</v>
      </c>
      <c r="E14" s="19">
        <v>-1272.2</v>
      </c>
      <c r="F14" s="19">
        <v>57.9</v>
      </c>
      <c r="G14" s="19">
        <f>D14+E14</f>
        <v>-619.7</v>
      </c>
      <c r="H14" s="19">
        <f>AVERAGE(G11:G14)</f>
        <v>-613.65</v>
      </c>
      <c r="I14" s="19">
        <f>-F14+I13</f>
        <v>-9083.700000000001</v>
      </c>
    </row>
    <row r="15" ht="20.05" customHeight="1">
      <c r="B15" s="30"/>
      <c r="C15" s="18">
        <v>4654.6</v>
      </c>
      <c r="D15" s="19">
        <v>2983.6</v>
      </c>
      <c r="E15" s="19">
        <v>-1399.4</v>
      </c>
      <c r="F15" s="19">
        <v>1693.1</v>
      </c>
      <c r="G15" s="19">
        <f>D15+E15</f>
        <v>1584.2</v>
      </c>
      <c r="H15" s="19">
        <f>AVERAGE(G12:G15)</f>
        <v>-610.075</v>
      </c>
      <c r="I15" s="19">
        <f>-F15+I14</f>
        <v>-10776.8</v>
      </c>
    </row>
    <row r="16" ht="20.05" customHeight="1">
      <c r="B16" s="31">
        <v>2018</v>
      </c>
      <c r="C16" s="18">
        <v>4045.8</v>
      </c>
      <c r="D16" s="19">
        <v>-1796.4</v>
      </c>
      <c r="E16" s="19">
        <v>-1788.1</v>
      </c>
      <c r="F16" s="19">
        <v>1304.2</v>
      </c>
      <c r="G16" s="19">
        <f>D16+E16</f>
        <v>-3584.5</v>
      </c>
      <c r="H16" s="19">
        <f>AVERAGE(G13:G16)</f>
        <v>-999.55</v>
      </c>
      <c r="I16" s="19">
        <f>-F16+I15</f>
        <v>-12081</v>
      </c>
    </row>
    <row r="17" ht="20.05" customHeight="1">
      <c r="B17" s="30"/>
      <c r="C17" s="18">
        <v>4494.2</v>
      </c>
      <c r="D17" s="19">
        <v>-737.1</v>
      </c>
      <c r="E17" s="19">
        <v>-1082.5</v>
      </c>
      <c r="F17" s="19">
        <v>39.5</v>
      </c>
      <c r="G17" s="19">
        <f>D17+E17</f>
        <v>-1819.6</v>
      </c>
      <c r="H17" s="19">
        <f>AVERAGE(G14:G17)</f>
        <v>-1109.9</v>
      </c>
      <c r="I17" s="19">
        <f>-F17+I16</f>
        <v>-12120.5</v>
      </c>
    </row>
    <row r="18" ht="20.05" customHeight="1">
      <c r="B18" s="30"/>
      <c r="C18" s="18">
        <v>4644.5</v>
      </c>
      <c r="D18" s="19">
        <v>707.5</v>
      </c>
      <c r="E18" s="19">
        <v>-1006</v>
      </c>
      <c r="F18" s="19">
        <v>1124.3</v>
      </c>
      <c r="G18" s="19">
        <f>D18+E18</f>
        <v>-298.5</v>
      </c>
      <c r="H18" s="19">
        <f>AVERAGE(G15:G18)</f>
        <v>-1029.6</v>
      </c>
      <c r="I18" s="19">
        <f>-F18+I17</f>
        <v>-13244.8</v>
      </c>
    </row>
    <row r="19" ht="20.05" customHeight="1">
      <c r="B19" s="30"/>
      <c r="C19" s="18">
        <v>8428.4</v>
      </c>
      <c r="D19" s="19">
        <v>2542</v>
      </c>
      <c r="E19" s="19">
        <v>170.6</v>
      </c>
      <c r="F19" s="19">
        <v>-259</v>
      </c>
      <c r="G19" s="19">
        <f>D19+E19</f>
        <v>2712.6</v>
      </c>
      <c r="H19" s="19">
        <f>AVERAGE(G16:G19)</f>
        <v>-747.5</v>
      </c>
      <c r="I19" s="19">
        <f>-F19+I18</f>
        <v>-12985.8</v>
      </c>
    </row>
    <row r="20" ht="20.05" customHeight="1">
      <c r="B20" s="31">
        <v>2019</v>
      </c>
      <c r="C20" s="18">
        <v>5076.2</v>
      </c>
      <c r="D20" s="19">
        <v>-1991</v>
      </c>
      <c r="E20" s="19">
        <v>-750.6</v>
      </c>
      <c r="F20" s="19">
        <v>459.1</v>
      </c>
      <c r="G20" s="19">
        <f>D20+E20</f>
        <v>-2741.6</v>
      </c>
      <c r="H20" s="19">
        <f>AVERAGE(G17:G20)</f>
        <v>-536.775</v>
      </c>
      <c r="I20" s="19">
        <f>-F20+I19</f>
        <v>-13444.9</v>
      </c>
    </row>
    <row r="21" ht="20.05" customHeight="1">
      <c r="B21" s="30"/>
      <c r="C21" s="18">
        <v>5471.6</v>
      </c>
      <c r="D21" s="19">
        <v>-1550.9</v>
      </c>
      <c r="E21" s="19">
        <v>-323.2</v>
      </c>
      <c r="F21" s="19">
        <v>490.9</v>
      </c>
      <c r="G21" s="19">
        <f>D21+E21</f>
        <v>-1874.1</v>
      </c>
      <c r="H21" s="19">
        <f>AVERAGE(G18:G21)</f>
        <v>-550.4</v>
      </c>
      <c r="I21" s="19">
        <f>-F21+I20</f>
        <v>-13935.8</v>
      </c>
    </row>
    <row r="22" ht="20.05" customHeight="1">
      <c r="B22" s="30"/>
      <c r="C22" s="18">
        <v>4607.7</v>
      </c>
      <c r="D22" s="19">
        <v>-379.7</v>
      </c>
      <c r="E22" s="19">
        <v>-1060.4</v>
      </c>
      <c r="F22" s="19">
        <v>807.2</v>
      </c>
      <c r="G22" s="19">
        <f>D22+E22</f>
        <v>-1440.1</v>
      </c>
      <c r="H22" s="19">
        <f>AVERAGE(G19:G22)</f>
        <v>-835.8</v>
      </c>
      <c r="I22" s="19">
        <f>-F22+I21</f>
        <v>-14743</v>
      </c>
    </row>
    <row r="23" ht="20.05" customHeight="1">
      <c r="B23" s="30"/>
      <c r="C23" s="18">
        <v>9290.5</v>
      </c>
      <c r="D23" s="19">
        <v>4221.6</v>
      </c>
      <c r="E23" s="19">
        <v>-890.8</v>
      </c>
      <c r="F23" s="19">
        <v>1437.8</v>
      </c>
      <c r="G23" s="19">
        <f>D23+E23</f>
        <v>3330.8</v>
      </c>
      <c r="H23" s="19">
        <f>AVERAGE(G20:G23)</f>
        <v>-681.25</v>
      </c>
      <c r="I23" s="19">
        <f>-F23+I22</f>
        <v>-16180.8</v>
      </c>
    </row>
    <row r="24" ht="20.05" customHeight="1">
      <c r="B24" s="31">
        <v>2020</v>
      </c>
      <c r="C24" s="18">
        <v>4639.3</v>
      </c>
      <c r="D24" s="19">
        <v>-1938.2</v>
      </c>
      <c r="E24" s="19">
        <v>-563.1</v>
      </c>
      <c r="F24" s="19">
        <v>345.5</v>
      </c>
      <c r="G24" s="19">
        <f>D24+E24</f>
        <v>-2501.3</v>
      </c>
      <c r="H24" s="19">
        <f>AVERAGE(G21:G24)</f>
        <v>-621.175</v>
      </c>
      <c r="I24" s="19">
        <f>-F24+I23</f>
        <v>-16526.3</v>
      </c>
    </row>
    <row r="25" ht="20.05" customHeight="1">
      <c r="B25" s="30"/>
      <c r="C25" s="18">
        <v>1890.1</v>
      </c>
      <c r="D25" s="19">
        <v>-1965.3</v>
      </c>
      <c r="E25" s="19">
        <v>-218.06</v>
      </c>
      <c r="F25" s="19">
        <v>181.3</v>
      </c>
      <c r="G25" s="19">
        <f>D25+E25</f>
        <v>-2183.36</v>
      </c>
      <c r="H25" s="19">
        <f>AVERAGE(G22:G25)</f>
        <v>-698.49</v>
      </c>
      <c r="I25" s="19">
        <f>-F25+I24</f>
        <v>-16707.6</v>
      </c>
    </row>
    <row r="26" ht="20.05" customHeight="1">
      <c r="B26" s="30"/>
      <c r="C26" s="18">
        <v>4152.6</v>
      </c>
      <c r="D26" s="19">
        <v>-205.5</v>
      </c>
      <c r="E26" s="19">
        <v>-426.84</v>
      </c>
      <c r="F26" s="19">
        <v>1199.2</v>
      </c>
      <c r="G26" s="19">
        <f>D26+E26</f>
        <v>-632.34</v>
      </c>
      <c r="H26" s="19">
        <f>AVERAGE(G23:G26)</f>
        <v>-496.55</v>
      </c>
      <c r="I26" s="19">
        <f>-F26+I25</f>
        <v>-17906.8</v>
      </c>
    </row>
    <row r="27" ht="20.05" customHeight="1">
      <c r="B27" s="30"/>
      <c r="C27" s="18">
        <f>17393.9-SUM(C24:C26)</f>
        <v>6711.9</v>
      </c>
      <c r="D27" s="19">
        <f>-269-SUM(D24:D26)</f>
        <v>3840</v>
      </c>
      <c r="E27" s="19">
        <f>-3834-SUM(E24:E26)</f>
        <v>-2626</v>
      </c>
      <c r="F27" s="19">
        <f>2067-SUM(F24:F26)</f>
        <v>341</v>
      </c>
      <c r="G27" s="19">
        <f>D27+E27</f>
        <v>1214</v>
      </c>
      <c r="H27" s="19">
        <f>AVERAGE(G24:G27)</f>
        <v>-1025.75</v>
      </c>
      <c r="I27" s="19">
        <f>-F27+I26</f>
        <v>-18247.8</v>
      </c>
    </row>
    <row r="28" ht="20.05" customHeight="1">
      <c r="B28" s="31">
        <v>2021</v>
      </c>
      <c r="C28" s="18">
        <v>3528</v>
      </c>
      <c r="D28" s="19">
        <v>-1016</v>
      </c>
      <c r="E28" s="19">
        <v>-663.9</v>
      </c>
      <c r="F28" s="19">
        <f>-636.4</f>
        <v>-636.4</v>
      </c>
      <c r="G28" s="19">
        <f>D28+E28</f>
        <v>-1679.9</v>
      </c>
      <c r="H28" s="19">
        <f>AVERAGE(G25:G28)</f>
        <v>-820.4</v>
      </c>
      <c r="I28" s="19">
        <f>-F28+I27</f>
        <v>-17611.4</v>
      </c>
    </row>
    <row r="29" ht="20.05" customHeight="1">
      <c r="B29" s="30"/>
      <c r="C29" s="18">
        <f>7213.4-C28</f>
        <v>3685.4</v>
      </c>
      <c r="D29" s="19">
        <f>-1147.2-D28</f>
        <v>-131.2</v>
      </c>
      <c r="E29" s="19">
        <f>-589.8-E28</f>
        <v>74.09999999999999</v>
      </c>
      <c r="F29" s="19">
        <f>-307.2-F28</f>
        <v>329.2</v>
      </c>
      <c r="G29" s="19">
        <f>D29+E29</f>
        <v>-57.1</v>
      </c>
      <c r="H29" s="19">
        <f>AVERAGE(G26:G29)</f>
        <v>-288.835</v>
      </c>
      <c r="I29" s="19">
        <f>-F29+I28</f>
        <v>-17940.6</v>
      </c>
    </row>
    <row r="30" ht="20.05" customHeight="1">
      <c r="B30" s="30"/>
      <c r="C30" s="18">
        <f>12093.1-SUM(C28:C29)</f>
        <v>4879.7</v>
      </c>
      <c r="D30" s="19">
        <f>-1017.9-SUM(D28:D29)</f>
        <v>129.3</v>
      </c>
      <c r="E30" s="19">
        <f>-1451.7-SUM(E28:E29)</f>
        <v>-861.9</v>
      </c>
      <c r="F30" s="19">
        <f>271.8-SUM(F28:F29)</f>
        <v>579</v>
      </c>
      <c r="G30" s="19">
        <f>D30+E30</f>
        <v>-732.6</v>
      </c>
      <c r="H30" s="19">
        <f>AVERAGE(G27:G30)</f>
        <v>-313.9</v>
      </c>
      <c r="I30" s="19">
        <f>-F30+I29</f>
        <v>-18519.6</v>
      </c>
    </row>
    <row r="31" ht="20.05" customHeight="1">
      <c r="B31" s="30"/>
      <c r="C31" s="18"/>
      <c r="D31" s="19"/>
      <c r="E31" s="19"/>
      <c r="F31" s="19"/>
      <c r="G31" s="19"/>
      <c r="H31" s="19">
        <f>SUM('Model'!F9:F10)</f>
        <v>49.387825303080</v>
      </c>
      <c r="I31" s="19">
        <f>'Model'!F32</f>
        <v>-18526.3468651042</v>
      </c>
    </row>
  </sheetData>
  <mergeCells count="1">
    <mergeCell ref="B2:I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64062" style="35" customWidth="1"/>
    <col min="3" max="11" width="9.38281" style="35" customWidth="1"/>
    <col min="12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22</v>
      </c>
      <c r="F3" t="s" s="5">
        <v>23</v>
      </c>
      <c r="G3" t="s" s="5">
        <v>11</v>
      </c>
      <c r="H3" t="s" s="5">
        <v>12</v>
      </c>
      <c r="I3" t="s" s="5">
        <v>26</v>
      </c>
      <c r="J3" t="s" s="5">
        <v>53</v>
      </c>
      <c r="K3" t="s" s="5">
        <v>35</v>
      </c>
    </row>
    <row r="4" ht="20.25" customHeight="1">
      <c r="B4" s="25">
        <v>2015</v>
      </c>
      <c r="C4" s="33">
        <v>1044</v>
      </c>
      <c r="D4" s="34">
        <v>13910</v>
      </c>
      <c r="E4" s="34">
        <f>D4-C4</f>
        <v>12866</v>
      </c>
      <c r="F4" s="34">
        <f>46+243</f>
        <v>289</v>
      </c>
      <c r="G4" s="34">
        <v>11426</v>
      </c>
      <c r="H4" s="34">
        <v>2484</v>
      </c>
      <c r="I4" s="34">
        <f>G4+H4-C4-E4</f>
        <v>0</v>
      </c>
      <c r="J4" s="34">
        <f>C4-G4</f>
        <v>-10382</v>
      </c>
      <c r="K4" s="34"/>
    </row>
    <row r="5" ht="20.05" customHeight="1">
      <c r="B5" s="30"/>
      <c r="C5" s="18">
        <v>1997</v>
      </c>
      <c r="D5" s="19">
        <v>15378</v>
      </c>
      <c r="E5" s="19">
        <f>D5-C5</f>
        <v>13381</v>
      </c>
      <c r="F5" s="19">
        <f>23+282</f>
        <v>305</v>
      </c>
      <c r="G5" s="19">
        <v>12046</v>
      </c>
      <c r="H5" s="19">
        <v>3332</v>
      </c>
      <c r="I5" s="19">
        <f>G5+H5-C5-E5</f>
        <v>0</v>
      </c>
      <c r="J5" s="19">
        <f>C5-G5</f>
        <v>-10049</v>
      </c>
      <c r="K5" s="19"/>
    </row>
    <row r="6" ht="20.05" customHeight="1">
      <c r="B6" s="30"/>
      <c r="C6" s="18">
        <v>1721</v>
      </c>
      <c r="D6" s="19">
        <v>15860</v>
      </c>
      <c r="E6" s="19">
        <f>D6-C6</f>
        <v>14139</v>
      </c>
      <c r="F6" s="19">
        <f>23+297</f>
        <v>320</v>
      </c>
      <c r="G6" s="19">
        <v>12301</v>
      </c>
      <c r="H6" s="19">
        <v>3559</v>
      </c>
      <c r="I6" s="19">
        <f>G6+H6-C6-E6</f>
        <v>0</v>
      </c>
      <c r="J6" s="19">
        <f>C6-G6</f>
        <v>-10580</v>
      </c>
      <c r="K6" s="19"/>
    </row>
    <row r="7" ht="20.05" customHeight="1">
      <c r="B7" s="30"/>
      <c r="C7" s="18">
        <v>3025</v>
      </c>
      <c r="D7" s="19">
        <v>19159</v>
      </c>
      <c r="E7" s="19">
        <f>D7-C7</f>
        <v>16134</v>
      </c>
      <c r="F7" s="19">
        <f>330+23</f>
        <v>353</v>
      </c>
      <c r="G7" s="19">
        <v>14013</v>
      </c>
      <c r="H7" s="19">
        <v>5146</v>
      </c>
      <c r="I7" s="19">
        <f>G7+H7-C7-E7</f>
        <v>0</v>
      </c>
      <c r="J7" s="19">
        <f>C7-G7</f>
        <v>-10988</v>
      </c>
      <c r="K7" s="19"/>
    </row>
    <row r="8" ht="20.05" customHeight="1">
      <c r="B8" s="31">
        <v>2016</v>
      </c>
      <c r="C8" s="18">
        <v>1315</v>
      </c>
      <c r="D8" s="19">
        <v>18666</v>
      </c>
      <c r="E8" s="19">
        <f>D8-C8</f>
        <v>17351</v>
      </c>
      <c r="F8" s="19">
        <f>23+346</f>
        <v>369</v>
      </c>
      <c r="G8" s="19">
        <v>13408</v>
      </c>
      <c r="H8" s="19">
        <v>5258</v>
      </c>
      <c r="I8" s="19">
        <f>G8+H8-C8-E8</f>
        <v>0</v>
      </c>
      <c r="J8" s="19">
        <f>C8-G8</f>
        <v>-12093</v>
      </c>
      <c r="K8" s="19"/>
    </row>
    <row r="9" ht="20.05" customHeight="1">
      <c r="B9" s="30"/>
      <c r="C9" s="18">
        <v>2171</v>
      </c>
      <c r="D9" s="19">
        <v>20445</v>
      </c>
      <c r="E9" s="19">
        <f>D9-C9</f>
        <v>18274</v>
      </c>
      <c r="F9" s="19">
        <f>23+371</f>
        <v>394</v>
      </c>
      <c r="G9" s="19">
        <v>15032</v>
      </c>
      <c r="H9" s="19">
        <v>5413</v>
      </c>
      <c r="I9" s="19">
        <f>G9+H9-C9-E9</f>
        <v>0</v>
      </c>
      <c r="J9" s="19">
        <f>C9-G9</f>
        <v>-12861</v>
      </c>
      <c r="K9" s="19"/>
    </row>
    <row r="10" ht="20.05" customHeight="1">
      <c r="B10" s="30"/>
      <c r="C10" s="18">
        <v>2306</v>
      </c>
      <c r="D10" s="19">
        <v>22472</v>
      </c>
      <c r="E10" s="19">
        <f>D10-C10</f>
        <v>20166</v>
      </c>
      <c r="F10" s="19">
        <f>23+475</f>
        <v>498</v>
      </c>
      <c r="G10" s="19">
        <v>16741</v>
      </c>
      <c r="H10" s="19">
        <v>5731</v>
      </c>
      <c r="I10" s="19">
        <f>G10+H10-C10-E10</f>
        <v>0</v>
      </c>
      <c r="J10" s="19">
        <f>C10-G10</f>
        <v>-14435</v>
      </c>
      <c r="K10" s="19"/>
    </row>
    <row r="11" ht="20.05" customHeight="1">
      <c r="B11" s="30"/>
      <c r="C11" s="18">
        <v>9125</v>
      </c>
      <c r="D11" s="19">
        <v>31189</v>
      </c>
      <c r="E11" s="19">
        <f>D11-C11</f>
        <v>22064</v>
      </c>
      <c r="F11" s="19">
        <f>856+23</f>
        <v>879</v>
      </c>
      <c r="G11" s="19">
        <v>20438</v>
      </c>
      <c r="H11" s="19">
        <v>10751</v>
      </c>
      <c r="I11" s="19">
        <f>G11+H11-C11-E11</f>
        <v>0</v>
      </c>
      <c r="J11" s="19">
        <f>C11-G11</f>
        <v>-11313</v>
      </c>
      <c r="K11" s="19"/>
    </row>
    <row r="12" ht="20.05" customHeight="1">
      <c r="B12" s="31">
        <v>2017</v>
      </c>
      <c r="C12" s="18">
        <v>6595</v>
      </c>
      <c r="D12" s="19">
        <v>30180</v>
      </c>
      <c r="E12" s="19">
        <f>D12-C12</f>
        <v>23585</v>
      </c>
      <c r="F12" s="19">
        <f>23+925</f>
        <v>948</v>
      </c>
      <c r="G12" s="19">
        <v>19559</v>
      </c>
      <c r="H12" s="19">
        <v>10621</v>
      </c>
      <c r="I12" s="19">
        <f>G12+H12-C12-E12</f>
        <v>0</v>
      </c>
      <c r="J12" s="19">
        <f>C12-G12</f>
        <v>-12964</v>
      </c>
      <c r="K12" s="19"/>
    </row>
    <row r="13" ht="20.05" customHeight="1">
      <c r="B13" s="30"/>
      <c r="C13" s="18">
        <v>6662</v>
      </c>
      <c r="D13" s="19">
        <v>31825</v>
      </c>
      <c r="E13" s="19">
        <f>D13-C13</f>
        <v>25163</v>
      </c>
      <c r="F13" s="19">
        <f>992+23</f>
        <v>1015</v>
      </c>
      <c r="G13" s="19">
        <v>20115</v>
      </c>
      <c r="H13" s="19">
        <v>11710</v>
      </c>
      <c r="I13" s="19">
        <f>G13+H13-C13-E13</f>
        <v>0</v>
      </c>
      <c r="J13" s="19">
        <f>C13-G13</f>
        <v>-13453</v>
      </c>
      <c r="K13" s="19"/>
    </row>
    <row r="14" ht="20.05" customHeight="1">
      <c r="B14" s="30"/>
      <c r="C14" s="18">
        <v>6138</v>
      </c>
      <c r="D14" s="19">
        <v>35353</v>
      </c>
      <c r="E14" s="19">
        <f>D14-C14</f>
        <v>29215</v>
      </c>
      <c r="F14" s="19">
        <f>23+1579</f>
        <v>1602</v>
      </c>
      <c r="G14" s="19">
        <v>22860</v>
      </c>
      <c r="H14" s="19">
        <v>12493</v>
      </c>
      <c r="I14" s="19">
        <f>G14+H14-C14-E14</f>
        <v>0</v>
      </c>
      <c r="J14" s="19">
        <f>C14-G14</f>
        <v>-16722</v>
      </c>
      <c r="K14" s="19"/>
    </row>
    <row r="15" ht="20.05" customHeight="1">
      <c r="B15" s="30"/>
      <c r="C15" s="18">
        <v>9383</v>
      </c>
      <c r="D15" s="19">
        <v>41783</v>
      </c>
      <c r="E15" s="19">
        <f>D15-C15</f>
        <v>32400</v>
      </c>
      <c r="F15" s="19">
        <f>1522</f>
        <v>1522</v>
      </c>
      <c r="G15" s="19">
        <v>27540</v>
      </c>
      <c r="H15" s="19">
        <v>14243</v>
      </c>
      <c r="I15" s="19">
        <f>G15+H15-C15-E15</f>
        <v>0</v>
      </c>
      <c r="J15" s="19">
        <f>C15-G15</f>
        <v>-18157</v>
      </c>
      <c r="K15" s="19"/>
    </row>
    <row r="16" ht="20.05" customHeight="1">
      <c r="B16" s="31">
        <v>2018</v>
      </c>
      <c r="C16" s="18">
        <v>7102</v>
      </c>
      <c r="D16" s="19">
        <v>42019</v>
      </c>
      <c r="E16" s="19">
        <f>D16-C16</f>
        <v>34917</v>
      </c>
      <c r="F16" s="19">
        <f>1680</f>
        <v>1680</v>
      </c>
      <c r="G16" s="19">
        <v>27380</v>
      </c>
      <c r="H16" s="19">
        <v>14639</v>
      </c>
      <c r="I16" s="19">
        <f>G16+H16-C16-E16</f>
        <v>0</v>
      </c>
      <c r="J16" s="19">
        <f>C16-G16</f>
        <v>-20278</v>
      </c>
      <c r="K16" s="19"/>
    </row>
    <row r="17" ht="20.05" customHeight="1">
      <c r="B17" s="30"/>
      <c r="C17" s="18">
        <v>5335</v>
      </c>
      <c r="D17" s="19">
        <v>44055</v>
      </c>
      <c r="E17" s="19">
        <f>D17-C17</f>
        <v>38720</v>
      </c>
      <c r="F17" s="19">
        <f>2305</f>
        <v>2305</v>
      </c>
      <c r="G17" s="19">
        <v>29319</v>
      </c>
      <c r="H17" s="19">
        <v>14736</v>
      </c>
      <c r="I17" s="19">
        <f>G17+H17-C17-E17</f>
        <v>0</v>
      </c>
      <c r="J17" s="19">
        <f>C17-G17</f>
        <v>-23984</v>
      </c>
      <c r="K17" s="19"/>
    </row>
    <row r="18" ht="20.05" customHeight="1">
      <c r="B18" s="30"/>
      <c r="C18" s="18">
        <v>6205</v>
      </c>
      <c r="D18" s="19">
        <v>48613</v>
      </c>
      <c r="E18" s="19">
        <f>D18-C18</f>
        <v>42408</v>
      </c>
      <c r="F18" s="19">
        <f>1890+1</f>
        <v>1891</v>
      </c>
      <c r="G18" s="19">
        <v>33354</v>
      </c>
      <c r="H18" s="19">
        <v>15259</v>
      </c>
      <c r="I18" s="19">
        <f>G18+H18-C18-E18</f>
        <v>0</v>
      </c>
      <c r="J18" s="19">
        <f>C18-G18</f>
        <v>-27149</v>
      </c>
      <c r="K18" s="19"/>
    </row>
    <row r="19" ht="20.05" customHeight="1">
      <c r="B19" s="30"/>
      <c r="C19" s="18">
        <v>8647</v>
      </c>
      <c r="D19" s="19">
        <v>52549</v>
      </c>
      <c r="E19" s="19">
        <f>D19-C19</f>
        <v>43902</v>
      </c>
      <c r="F19" s="19">
        <f>1947+5+45</f>
        <v>1997</v>
      </c>
      <c r="G19" s="19">
        <v>36233</v>
      </c>
      <c r="H19" s="19">
        <v>16316</v>
      </c>
      <c r="I19" s="19">
        <f>G19+H19-C19-E19</f>
        <v>0</v>
      </c>
      <c r="J19" s="19">
        <f>C19-G19</f>
        <v>-27586</v>
      </c>
      <c r="K19" s="19"/>
    </row>
    <row r="20" ht="20.05" customHeight="1">
      <c r="B20" s="31">
        <v>2019</v>
      </c>
      <c r="C20" s="18">
        <v>6364</v>
      </c>
      <c r="D20" s="19">
        <v>52515</v>
      </c>
      <c r="E20" s="19">
        <f>D20-C20</f>
        <v>46151</v>
      </c>
      <c r="F20" s="19">
        <f>2167+2+44</f>
        <v>2213</v>
      </c>
      <c r="G20" s="19">
        <v>36012</v>
      </c>
      <c r="H20" s="19">
        <v>16503</v>
      </c>
      <c r="I20" s="19">
        <f>G20+H20-C20-E20</f>
        <v>0</v>
      </c>
      <c r="J20" s="19">
        <f>C20-G20</f>
        <v>-29648</v>
      </c>
      <c r="K20" s="19"/>
    </row>
    <row r="21" ht="20.05" customHeight="1">
      <c r="B21" s="30"/>
      <c r="C21" s="18">
        <v>4982</v>
      </c>
      <c r="D21" s="19">
        <v>53504</v>
      </c>
      <c r="E21" s="19">
        <f>D21-C21</f>
        <v>48522</v>
      </c>
      <c r="F21" s="19">
        <f>2241+3+45</f>
        <v>2289</v>
      </c>
      <c r="G21" s="19">
        <v>37100</v>
      </c>
      <c r="H21" s="19">
        <v>16404</v>
      </c>
      <c r="I21" s="19">
        <f>G21+H21-C21-E21</f>
        <v>0</v>
      </c>
      <c r="J21" s="19">
        <f>C21-G21</f>
        <v>-32118</v>
      </c>
      <c r="K21" s="19"/>
    </row>
    <row r="22" ht="20.05" customHeight="1">
      <c r="B22" s="30"/>
      <c r="C22" s="18">
        <v>4357</v>
      </c>
      <c r="D22" s="19">
        <v>54839</v>
      </c>
      <c r="E22" s="19">
        <f>D22-C22</f>
        <v>50482</v>
      </c>
      <c r="F22" s="19">
        <f>2342+5+45</f>
        <v>2392</v>
      </c>
      <c r="G22" s="19">
        <v>38203</v>
      </c>
      <c r="H22" s="19">
        <v>16636</v>
      </c>
      <c r="I22" s="19">
        <f>G22+H22-C22-E22</f>
        <v>0</v>
      </c>
      <c r="J22" s="19">
        <f>C22-G22</f>
        <v>-33846</v>
      </c>
      <c r="K22" s="22"/>
    </row>
    <row r="23" ht="20.05" customHeight="1">
      <c r="B23" s="30"/>
      <c r="C23" s="18">
        <v>9105</v>
      </c>
      <c r="D23" s="19">
        <v>55658</v>
      </c>
      <c r="E23" s="19">
        <f>D23-C23</f>
        <v>46553</v>
      </c>
      <c r="F23" s="19">
        <f>1761+13+57</f>
        <v>1831</v>
      </c>
      <c r="G23" s="19">
        <v>40237</v>
      </c>
      <c r="H23" s="19">
        <v>15421</v>
      </c>
      <c r="I23" s="19">
        <f>G23+H23-C23-E23</f>
        <v>0</v>
      </c>
      <c r="J23" s="19">
        <f>C23-G23</f>
        <v>-31132</v>
      </c>
      <c r="K23" s="22"/>
    </row>
    <row r="24" ht="20.05" customHeight="1">
      <c r="B24" s="31">
        <v>2020</v>
      </c>
      <c r="C24" s="18">
        <v>6939</v>
      </c>
      <c r="D24" s="19">
        <v>54729</v>
      </c>
      <c r="E24" s="19">
        <f>D24-C24</f>
        <v>47790</v>
      </c>
      <c r="F24" s="19">
        <f>1899+71+1</f>
        <v>1971</v>
      </c>
      <c r="G24" s="19">
        <v>40565</v>
      </c>
      <c r="H24" s="19">
        <v>14164</v>
      </c>
      <c r="I24" s="19">
        <f>G24+H24-C24-E24</f>
        <v>0</v>
      </c>
      <c r="J24" s="19">
        <f>C24-G24</f>
        <v>-33626</v>
      </c>
      <c r="K24" s="22"/>
    </row>
    <row r="25" ht="20.05" customHeight="1">
      <c r="B25" s="30"/>
      <c r="C25" s="18">
        <v>4939</v>
      </c>
      <c r="D25" s="19">
        <v>54119</v>
      </c>
      <c r="E25" s="19">
        <f>D25-C25</f>
        <v>49180</v>
      </c>
      <c r="F25" s="19">
        <f>66+2014+11</f>
        <v>2091</v>
      </c>
      <c r="G25" s="19">
        <v>39919</v>
      </c>
      <c r="H25" s="19">
        <v>14200</v>
      </c>
      <c r="I25" s="19">
        <f>G25+H25-C25-E25</f>
        <v>0</v>
      </c>
      <c r="J25" s="19">
        <f>C25-G25</f>
        <v>-34980</v>
      </c>
      <c r="K25" s="22"/>
    </row>
    <row r="26" ht="20.05" customHeight="1">
      <c r="B26" s="30"/>
      <c r="C26" s="18">
        <v>5503</v>
      </c>
      <c r="D26" s="19">
        <v>54016</v>
      </c>
      <c r="E26" s="19">
        <f>D26-C26</f>
        <v>48513</v>
      </c>
      <c r="F26" s="19">
        <f>2148+72</f>
        <v>2220</v>
      </c>
      <c r="G26" s="19">
        <v>39763</v>
      </c>
      <c r="H26" s="19">
        <v>14253</v>
      </c>
      <c r="I26" s="19">
        <f>G26+H26-C26-E26</f>
        <v>0</v>
      </c>
      <c r="J26" s="19">
        <f>C26-G26</f>
        <v>-34260</v>
      </c>
      <c r="K26" s="22"/>
    </row>
    <row r="27" ht="20.05" customHeight="1">
      <c r="B27" s="30"/>
      <c r="C27" s="18">
        <v>7512</v>
      </c>
      <c r="D27" s="19">
        <v>53472</v>
      </c>
      <c r="E27" s="19">
        <f>D27-C27</f>
        <v>45960</v>
      </c>
      <c r="F27" s="19">
        <f>2069+72+25</f>
        <v>2166</v>
      </c>
      <c r="G27" s="19">
        <v>39465</v>
      </c>
      <c r="H27" s="19">
        <v>14007</v>
      </c>
      <c r="I27" s="19">
        <f>G27+H27-C27-E27</f>
        <v>0</v>
      </c>
      <c r="J27" s="19">
        <f>C27-G27</f>
        <v>-31953</v>
      </c>
      <c r="K27" s="22"/>
    </row>
    <row r="28" ht="20.05" customHeight="1">
      <c r="B28" s="31">
        <v>2021</v>
      </c>
      <c r="C28" s="18">
        <v>5195</v>
      </c>
      <c r="D28" s="19">
        <v>53747</v>
      </c>
      <c r="E28" s="19">
        <f>D28-C28</f>
        <v>48552</v>
      </c>
      <c r="F28" s="19">
        <f>2165+79+1+33+27+66</f>
        <v>2371</v>
      </c>
      <c r="G28" s="19">
        <v>39678</v>
      </c>
      <c r="H28" s="19">
        <v>14069</v>
      </c>
      <c r="I28" s="19">
        <f>G28+H28-C28-E28</f>
        <v>0</v>
      </c>
      <c r="J28" s="19">
        <f>C28-G28</f>
        <v>-34483</v>
      </c>
      <c r="K28" s="19"/>
    </row>
    <row r="29" ht="20.05" customHeight="1">
      <c r="B29" s="30"/>
      <c r="C29" s="18">
        <v>5474</v>
      </c>
      <c r="D29" s="19">
        <v>55397</v>
      </c>
      <c r="E29" s="19">
        <f>D29-C29</f>
        <v>49923</v>
      </c>
      <c r="F29" s="19">
        <f>2334+84+176+3+37+28</f>
        <v>2662</v>
      </c>
      <c r="G29" s="19">
        <v>41279</v>
      </c>
      <c r="H29" s="19">
        <v>14118</v>
      </c>
      <c r="I29" s="19">
        <f>G29+H29-C29-E29</f>
        <v>0</v>
      </c>
      <c r="J29" s="19">
        <f>C29-G29</f>
        <v>-35805</v>
      </c>
      <c r="K29" s="19"/>
    </row>
    <row r="30" ht="20.05" customHeight="1">
      <c r="B30" s="30"/>
      <c r="C30" s="18">
        <v>5314</v>
      </c>
      <c r="D30" s="19">
        <v>56194</v>
      </c>
      <c r="E30" s="19">
        <f>D30-C30</f>
        <v>50880</v>
      </c>
      <c r="F30" s="19">
        <f>2477+89+174+41+28</f>
        <v>2809</v>
      </c>
      <c r="G30" s="19">
        <v>41992</v>
      </c>
      <c r="H30" s="19">
        <v>14202</v>
      </c>
      <c r="I30" s="19">
        <f>G30+H30-C30-E30</f>
        <v>0</v>
      </c>
      <c r="J30" s="19">
        <f>C30-G30</f>
        <v>-36678</v>
      </c>
      <c r="K30" s="19">
        <f>J30</f>
        <v>-36678</v>
      </c>
    </row>
    <row r="31" ht="20.05" customHeight="1">
      <c r="B31" s="30"/>
      <c r="C31" s="18"/>
      <c r="D31" s="19"/>
      <c r="E31" s="19"/>
      <c r="F31" s="19"/>
      <c r="G31" s="19"/>
      <c r="H31" s="19"/>
      <c r="I31" s="19"/>
      <c r="J31" s="19"/>
      <c r="K31" s="19">
        <f>'Model'!F30</f>
        <v>-36684.7468651042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66406" style="36" customWidth="1"/>
    <col min="2" max="2" width="8.35156" style="36" customWidth="1"/>
    <col min="3" max="4" width="11.0547" style="36" customWidth="1"/>
    <col min="5" max="16384" width="16.3516" style="36" customWidth="1"/>
  </cols>
  <sheetData>
    <row r="1" ht="31.85" customHeight="1"/>
    <row r="2" ht="27.65" customHeight="1">
      <c r="B2" t="s" s="2">
        <v>54</v>
      </c>
      <c r="C2" s="2"/>
      <c r="D2" s="2"/>
    </row>
    <row r="3" ht="20.25" customHeight="1">
      <c r="B3" s="6"/>
      <c r="C3" t="s" s="37">
        <v>55</v>
      </c>
      <c r="D3" t="s" s="37">
        <v>38</v>
      </c>
    </row>
    <row r="4" ht="20.25" customHeight="1">
      <c r="B4" s="25">
        <v>2014</v>
      </c>
      <c r="C4" s="33">
        <v>1283</v>
      </c>
      <c r="D4" s="34"/>
    </row>
    <row r="5" ht="20.05" customHeight="1">
      <c r="B5" s="30"/>
      <c r="C5" s="18">
        <v>1335</v>
      </c>
      <c r="D5" s="19"/>
    </row>
    <row r="6" ht="20.05" customHeight="1">
      <c r="B6" s="30"/>
      <c r="C6" s="18">
        <v>1739</v>
      </c>
      <c r="D6" s="19"/>
    </row>
    <row r="7" ht="20.05" customHeight="1">
      <c r="B7" s="30"/>
      <c r="C7" s="18">
        <v>1754</v>
      </c>
      <c r="D7" s="19"/>
    </row>
    <row r="8" ht="20.05" customHeight="1">
      <c r="B8" s="30"/>
      <c r="C8" s="18">
        <v>1815</v>
      </c>
      <c r="D8" s="19"/>
    </row>
    <row r="9" ht="20.05" customHeight="1">
      <c r="B9" s="30"/>
      <c r="C9" s="18">
        <v>1758</v>
      </c>
      <c r="D9" s="19"/>
    </row>
    <row r="10" ht="20.05" customHeight="1">
      <c r="B10" s="30"/>
      <c r="C10" s="18">
        <v>2148</v>
      </c>
      <c r="D10" s="19"/>
    </row>
    <row r="11" ht="20.05" customHeight="1">
      <c r="B11" s="30"/>
      <c r="C11" s="18">
        <v>2343</v>
      </c>
      <c r="D11" s="19"/>
    </row>
    <row r="12" ht="20.05" customHeight="1">
      <c r="B12" s="30"/>
      <c r="C12" s="18">
        <v>2044</v>
      </c>
      <c r="D12" s="19"/>
    </row>
    <row r="13" ht="20.05" customHeight="1">
      <c r="B13" s="30"/>
      <c r="C13" s="18">
        <v>2500</v>
      </c>
      <c r="D13" s="19"/>
    </row>
    <row r="14" ht="20.05" customHeight="1">
      <c r="B14" s="30"/>
      <c r="C14" s="18">
        <v>2908</v>
      </c>
      <c r="D14" s="19"/>
    </row>
    <row r="15" ht="20.05" customHeight="1">
      <c r="B15" s="30"/>
      <c r="C15" s="18">
        <v>3398</v>
      </c>
      <c r="D15" s="19"/>
    </row>
    <row r="16" ht="20.05" customHeight="1">
      <c r="B16" s="31">
        <v>2015</v>
      </c>
      <c r="C16" s="18">
        <v>3721</v>
      </c>
      <c r="D16" s="19"/>
    </row>
    <row r="17" ht="20.05" customHeight="1">
      <c r="B17" s="30"/>
      <c r="C17" s="18">
        <v>3859</v>
      </c>
      <c r="D17" s="19"/>
    </row>
    <row r="18" ht="20.05" customHeight="1">
      <c r="B18" s="30"/>
      <c r="C18" s="18">
        <v>3607</v>
      </c>
      <c r="D18" s="19"/>
    </row>
    <row r="19" ht="20.05" customHeight="1">
      <c r="B19" s="30"/>
      <c r="C19" s="18">
        <v>3731</v>
      </c>
      <c r="D19" s="19"/>
    </row>
    <row r="20" ht="20.05" customHeight="1">
      <c r="B20" s="30"/>
      <c r="C20" s="18">
        <v>3821</v>
      </c>
      <c r="D20" s="19"/>
    </row>
    <row r="21" ht="20.05" customHeight="1">
      <c r="B21" s="30"/>
      <c r="C21" s="18">
        <v>3298</v>
      </c>
      <c r="D21" s="19"/>
    </row>
    <row r="22" ht="20.05" customHeight="1">
      <c r="B22" s="30"/>
      <c r="C22" s="18">
        <v>3712</v>
      </c>
      <c r="D22" s="19"/>
    </row>
    <row r="23" ht="20.05" customHeight="1">
      <c r="B23" s="30"/>
      <c r="C23" s="18">
        <v>3146</v>
      </c>
      <c r="D23" s="19"/>
    </row>
    <row r="24" ht="20.05" customHeight="1">
      <c r="B24" s="30"/>
      <c r="C24" s="18">
        <v>3293</v>
      </c>
      <c r="D24" s="19"/>
    </row>
    <row r="25" ht="20.05" customHeight="1">
      <c r="B25" s="30"/>
      <c r="C25" s="18">
        <v>3621</v>
      </c>
      <c r="D25" s="19"/>
    </row>
    <row r="26" ht="20.05" customHeight="1">
      <c r="B26" s="30"/>
      <c r="C26" s="18">
        <v>3445</v>
      </c>
      <c r="D26" s="19"/>
    </row>
    <row r="27" ht="20.05" customHeight="1">
      <c r="B27" s="30"/>
      <c r="C27" s="18">
        <v>3683</v>
      </c>
      <c r="D27" s="19"/>
    </row>
    <row r="28" ht="20.05" customHeight="1">
      <c r="B28" s="31">
        <v>2016</v>
      </c>
      <c r="C28" s="18">
        <v>3707</v>
      </c>
      <c r="D28" s="19"/>
    </row>
    <row r="29" ht="20.05" customHeight="1">
      <c r="B29" s="30"/>
      <c r="C29" s="18">
        <v>3507</v>
      </c>
      <c r="D29" s="19"/>
    </row>
    <row r="30" ht="20.05" customHeight="1">
      <c r="B30" s="30"/>
      <c r="C30" s="18">
        <v>3669</v>
      </c>
      <c r="D30" s="19"/>
    </row>
    <row r="31" ht="20.05" customHeight="1">
      <c r="B31" s="30"/>
      <c r="C31" s="18">
        <v>3483</v>
      </c>
      <c r="D31" s="19"/>
    </row>
    <row r="32" ht="20.05" customHeight="1">
      <c r="B32" s="30"/>
      <c r="C32" s="18">
        <v>3517</v>
      </c>
      <c r="D32" s="19"/>
    </row>
    <row r="33" ht="20.05" customHeight="1">
      <c r="B33" s="30"/>
      <c r="C33" s="18">
        <v>3707</v>
      </c>
      <c r="D33" s="19"/>
    </row>
    <row r="34" ht="20.05" customHeight="1">
      <c r="B34" s="30"/>
      <c r="C34" s="18">
        <v>3669</v>
      </c>
      <c r="D34" s="19"/>
    </row>
    <row r="35" ht="20.05" customHeight="1">
      <c r="B35" s="30"/>
      <c r="C35" s="18">
        <v>4135</v>
      </c>
      <c r="D35" s="19"/>
    </row>
    <row r="36" ht="20.05" customHeight="1">
      <c r="B36" s="30"/>
      <c r="C36" s="18">
        <v>3982</v>
      </c>
      <c r="D36" s="19"/>
    </row>
    <row r="37" ht="20.05" customHeight="1">
      <c r="B37" s="30"/>
      <c r="C37" s="18">
        <v>3916</v>
      </c>
      <c r="D37" s="19"/>
    </row>
    <row r="38" ht="20.05" customHeight="1">
      <c r="B38" s="30"/>
      <c r="C38" s="18">
        <v>4040</v>
      </c>
      <c r="D38" s="19"/>
    </row>
    <row r="39" ht="20.05" customHeight="1">
      <c r="B39" s="30"/>
      <c r="C39" s="18">
        <v>3810</v>
      </c>
      <c r="D39" s="19"/>
    </row>
    <row r="40" ht="20.05" customHeight="1">
      <c r="B40" s="31">
        <v>2017</v>
      </c>
      <c r="C40" s="18">
        <v>3590</v>
      </c>
      <c r="D40" s="19"/>
    </row>
    <row r="41" ht="20.05" customHeight="1">
      <c r="B41" s="30"/>
      <c r="C41" s="18">
        <v>3480</v>
      </c>
      <c r="D41" s="19"/>
    </row>
    <row r="42" ht="20.05" customHeight="1">
      <c r="B42" s="30"/>
      <c r="C42" s="18">
        <v>3310</v>
      </c>
      <c r="D42" s="19"/>
    </row>
    <row r="43" ht="20.05" customHeight="1">
      <c r="B43" s="30"/>
      <c r="C43" s="18">
        <v>3180</v>
      </c>
      <c r="D43" s="19"/>
    </row>
    <row r="44" ht="20.05" customHeight="1">
      <c r="B44" s="30"/>
      <c r="C44" s="18">
        <v>3130</v>
      </c>
      <c r="D44" s="19"/>
    </row>
    <row r="45" ht="20.05" customHeight="1">
      <c r="B45" s="30"/>
      <c r="C45" s="18">
        <v>3140</v>
      </c>
      <c r="D45" s="19"/>
    </row>
    <row r="46" ht="20.05" customHeight="1">
      <c r="B46" s="30"/>
      <c r="C46" s="18">
        <v>3030</v>
      </c>
      <c r="D46" s="19"/>
    </row>
    <row r="47" ht="20.05" customHeight="1">
      <c r="B47" s="30"/>
      <c r="C47" s="18">
        <v>2810</v>
      </c>
      <c r="D47" s="19"/>
    </row>
    <row r="48" ht="20.05" customHeight="1">
      <c r="B48" s="30"/>
      <c r="C48" s="18">
        <v>2310</v>
      </c>
      <c r="D48" s="19"/>
    </row>
    <row r="49" ht="20.05" customHeight="1">
      <c r="B49" s="30"/>
      <c r="C49" s="18">
        <v>2850</v>
      </c>
      <c r="D49" s="19"/>
    </row>
    <row r="50" ht="20.05" customHeight="1">
      <c r="B50" s="30"/>
      <c r="C50" s="18">
        <v>2570</v>
      </c>
      <c r="D50" s="19"/>
    </row>
    <row r="51" ht="20.05" customHeight="1">
      <c r="B51" s="30"/>
      <c r="C51" s="18">
        <v>2640</v>
      </c>
      <c r="D51" s="19"/>
    </row>
    <row r="52" ht="20.05" customHeight="1">
      <c r="B52" s="31">
        <v>2018</v>
      </c>
      <c r="C52" s="18">
        <v>3130</v>
      </c>
      <c r="D52" s="19"/>
    </row>
    <row r="53" ht="20.05" customHeight="1">
      <c r="B53" s="30"/>
      <c r="C53" s="18">
        <v>3100</v>
      </c>
      <c r="D53" s="19"/>
    </row>
    <row r="54" ht="20.05" customHeight="1">
      <c r="B54" s="30"/>
      <c r="C54" s="18">
        <v>2610</v>
      </c>
      <c r="D54" s="19"/>
    </row>
    <row r="55" ht="20.05" customHeight="1">
      <c r="B55" s="30"/>
      <c r="C55" s="18">
        <v>2430</v>
      </c>
      <c r="D55" s="19"/>
    </row>
    <row r="56" ht="20.05" customHeight="1">
      <c r="B56" s="30"/>
      <c r="C56" s="18">
        <v>2580</v>
      </c>
      <c r="D56" s="19"/>
    </row>
    <row r="57" ht="20.05" customHeight="1">
      <c r="B57" s="30"/>
      <c r="C57" s="18">
        <v>1995</v>
      </c>
      <c r="D57" s="19"/>
    </row>
    <row r="58" ht="20.05" customHeight="1">
      <c r="B58" s="30"/>
      <c r="C58" s="18">
        <v>2080</v>
      </c>
      <c r="D58" s="19"/>
    </row>
    <row r="59" ht="20.05" customHeight="1">
      <c r="B59" s="30"/>
      <c r="C59" s="18">
        <v>1900</v>
      </c>
      <c r="D59" s="19"/>
    </row>
    <row r="60" ht="20.05" customHeight="1">
      <c r="B60" s="30"/>
      <c r="C60" s="18">
        <v>1525</v>
      </c>
      <c r="D60" s="19"/>
    </row>
    <row r="61" ht="20.05" customHeight="1">
      <c r="B61" s="30"/>
      <c r="C61" s="18">
        <v>1330</v>
      </c>
      <c r="D61" s="19"/>
    </row>
    <row r="62" ht="20.05" customHeight="1">
      <c r="B62" s="30"/>
      <c r="C62" s="18">
        <v>1855</v>
      </c>
      <c r="D62" s="19"/>
    </row>
    <row r="63" ht="20.05" customHeight="1">
      <c r="B63" s="30"/>
      <c r="C63" s="18">
        <v>1805</v>
      </c>
      <c r="D63" s="19"/>
    </row>
    <row r="64" ht="20.05" customHeight="1">
      <c r="B64" s="31">
        <v>2019</v>
      </c>
      <c r="C64" s="18">
        <v>2340</v>
      </c>
      <c r="D64" s="19"/>
    </row>
    <row r="65" ht="20.05" customHeight="1">
      <c r="B65" s="30"/>
      <c r="C65" s="18">
        <v>2000</v>
      </c>
      <c r="D65" s="19"/>
    </row>
    <row r="66" ht="20.05" customHeight="1">
      <c r="B66" s="30"/>
      <c r="C66" s="18">
        <v>2080</v>
      </c>
      <c r="D66" s="19"/>
    </row>
    <row r="67" ht="20.05" customHeight="1">
      <c r="B67" s="30"/>
      <c r="C67" s="18">
        <v>2400</v>
      </c>
      <c r="D67" s="19"/>
    </row>
    <row r="68" ht="20.05" customHeight="1">
      <c r="B68" s="30"/>
      <c r="C68" s="18">
        <v>1970</v>
      </c>
      <c r="D68" s="19"/>
    </row>
    <row r="69" ht="20.05" customHeight="1">
      <c r="B69" s="30"/>
      <c r="C69" s="18">
        <v>2210</v>
      </c>
      <c r="D69" s="19"/>
    </row>
    <row r="70" ht="20.05" customHeight="1">
      <c r="B70" s="30"/>
      <c r="C70" s="18">
        <v>2150</v>
      </c>
      <c r="D70" s="19"/>
    </row>
    <row r="71" ht="20.05" customHeight="1">
      <c r="B71" s="30"/>
      <c r="C71" s="18">
        <v>1850</v>
      </c>
      <c r="D71" s="19"/>
    </row>
    <row r="72" ht="20.05" customHeight="1">
      <c r="B72" s="30"/>
      <c r="C72" s="18">
        <v>1705</v>
      </c>
      <c r="D72" s="19"/>
    </row>
    <row r="73" ht="20.05" customHeight="1">
      <c r="B73" s="30"/>
      <c r="C73" s="18">
        <v>1775</v>
      </c>
      <c r="D73" s="19"/>
    </row>
    <row r="74" ht="20.05" customHeight="1">
      <c r="B74" s="30"/>
      <c r="C74" s="18">
        <v>1350</v>
      </c>
      <c r="D74" s="20"/>
    </row>
    <row r="75" ht="20.05" customHeight="1">
      <c r="B75" s="30"/>
      <c r="C75" s="18">
        <v>1585</v>
      </c>
      <c r="D75" s="20"/>
    </row>
    <row r="76" ht="20.05" customHeight="1">
      <c r="B76" s="31">
        <v>2020</v>
      </c>
      <c r="C76" s="18">
        <v>1380</v>
      </c>
      <c r="D76" s="20"/>
    </row>
    <row r="77" ht="20.05" customHeight="1">
      <c r="B77" s="30"/>
      <c r="C77" s="18">
        <v>1205</v>
      </c>
      <c r="D77" s="20"/>
    </row>
    <row r="78" ht="20.05" customHeight="1">
      <c r="B78" s="30"/>
      <c r="C78" s="18">
        <v>550</v>
      </c>
      <c r="D78" s="20"/>
    </row>
    <row r="79" ht="20.05" customHeight="1">
      <c r="B79" s="30"/>
      <c r="C79" s="18">
        <v>670</v>
      </c>
      <c r="D79" s="20"/>
    </row>
    <row r="80" ht="20.05" customHeight="1">
      <c r="B80" s="30"/>
      <c r="C80" s="18">
        <v>725</v>
      </c>
      <c r="D80" s="20"/>
    </row>
    <row r="81" ht="20.05" customHeight="1">
      <c r="B81" s="30"/>
      <c r="C81" s="18">
        <v>870</v>
      </c>
      <c r="D81" s="20"/>
    </row>
    <row r="82" ht="20.05" customHeight="1">
      <c r="B82" s="30"/>
      <c r="C82" s="18">
        <v>975</v>
      </c>
      <c r="D82" s="20"/>
    </row>
    <row r="83" ht="20.05" customHeight="1">
      <c r="B83" s="30"/>
      <c r="C83" s="18">
        <v>970</v>
      </c>
      <c r="D83" s="20"/>
    </row>
    <row r="84" ht="20.05" customHeight="1">
      <c r="B84" s="30"/>
      <c r="C84" s="18">
        <v>825</v>
      </c>
      <c r="D84" s="20"/>
    </row>
    <row r="85" ht="20.05" customHeight="1">
      <c r="B85" s="30"/>
      <c r="C85" s="18">
        <v>915</v>
      </c>
      <c r="D85" s="20"/>
    </row>
    <row r="86" ht="20.05" customHeight="1">
      <c r="B86" s="30"/>
      <c r="C86" s="18">
        <v>1360</v>
      </c>
      <c r="D86" s="20"/>
    </row>
    <row r="87" ht="20.05" customHeight="1">
      <c r="B87" s="30"/>
      <c r="C87" s="18">
        <v>1865</v>
      </c>
      <c r="D87" s="20"/>
    </row>
    <row r="88" ht="20.05" customHeight="1">
      <c r="B88" s="31">
        <v>2021</v>
      </c>
      <c r="C88" s="18">
        <v>1635</v>
      </c>
      <c r="D88" s="20"/>
    </row>
    <row r="89" ht="20.05" customHeight="1">
      <c r="B89" s="30"/>
      <c r="C89" s="18">
        <v>1615</v>
      </c>
      <c r="D89" s="20"/>
    </row>
    <row r="90" ht="20.05" customHeight="1">
      <c r="B90" s="30"/>
      <c r="C90" s="18">
        <v>1370</v>
      </c>
      <c r="D90" s="19"/>
    </row>
    <row r="91" ht="20.05" customHeight="1">
      <c r="B91" s="30"/>
      <c r="C91" s="18">
        <v>1220</v>
      </c>
      <c r="D91" s="19"/>
    </row>
    <row r="92" ht="20.05" customHeight="1">
      <c r="B92" s="30"/>
      <c r="C92" s="18">
        <v>1115</v>
      </c>
      <c r="D92" s="19"/>
    </row>
    <row r="93" ht="20.05" customHeight="1">
      <c r="B93" s="30"/>
      <c r="C93" s="18">
        <v>915</v>
      </c>
      <c r="D93" s="19"/>
    </row>
    <row r="94" ht="20.05" customHeight="1">
      <c r="B94" s="30"/>
      <c r="C94" s="18">
        <v>840</v>
      </c>
      <c r="D94" s="19"/>
    </row>
    <row r="95" ht="20.05" customHeight="1">
      <c r="B95" s="30"/>
      <c r="C95" s="18">
        <v>905</v>
      </c>
      <c r="D95" s="19">
        <v>1631.831927966280</v>
      </c>
    </row>
    <row r="96" ht="20.05" customHeight="1">
      <c r="B96" s="30"/>
      <c r="C96" s="18">
        <v>1090</v>
      </c>
      <c r="D96" s="19">
        <v>1631.831927966280</v>
      </c>
    </row>
    <row r="97" ht="20.05" customHeight="1">
      <c r="B97" s="30"/>
      <c r="C97" s="18">
        <v>1205</v>
      </c>
      <c r="D97" s="20"/>
    </row>
    <row r="98" ht="20.05" customHeight="1">
      <c r="B98" s="30"/>
      <c r="C98" s="18">
        <v>1245</v>
      </c>
      <c r="D98" s="19">
        <f>C98</f>
        <v>1245</v>
      </c>
    </row>
    <row r="99" ht="20.05" customHeight="1">
      <c r="B99" s="30"/>
      <c r="C99" s="18"/>
      <c r="D99" s="19">
        <f>'Model'!F42</f>
        <v>1117.815601912330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