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<sst xmlns="http://schemas.openxmlformats.org/spreadsheetml/2006/main" uniqueCount="60">
  <si>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</si>
  <si>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</si>
  <si>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</si>
  <si>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</si>
  <si>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</si>
  <si>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</si>
  <si>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</si>
  <si>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</si>
  <si>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</si>
  <si>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</si>
  <si>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</si>
  <si>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</si>
  <si>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</si>
  <si>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</si>
  <si>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</si>
  <si>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</si>
  <si>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</si>
  <si>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</si>
  <si>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</si>
  <si>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</si>
  <si>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</si>
  <si>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>JVs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</si>
  <si>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</si>
  <si>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</si>
  <si>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</si>
  <si>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</si>
  <si>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</si>
  <si>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</si>
  <si>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</si>
  <si>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</si>
  <si>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</si>
  <si>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</si>
  <si>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</si>
  <si>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</si>
  <si>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</si>
  <si>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</si>
  <si>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</si>
  <si>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</si>
  <si>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</si>
  <si>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</si>
  <si>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</si>
  <si>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</si>
  <si>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</si>
  <si>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</si>
  <si>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JV</t>
  </si>
  <si>
    <t xml:space="preserve">Sales growth </t>
  </si>
  <si>
    <t xml:space="preserve">Cost ratio </t>
  </si>
  <si>
    <t>Cashflow costs</t>
  </si>
  <si>
    <t xml:space="preserve">Receipts </t>
  </si>
  <si>
    <t xml:space="preserve">Lease payments </t>
  </si>
  <si>
    <t xml:space="preserve">Capex </t>
  </si>
  <si>
    <t xml:space="preserve">Operating </t>
  </si>
  <si>
    <t xml:space="preserve">Investment </t>
  </si>
  <si>
    <t xml:space="preserve">Free cashflow </t>
  </si>
  <si>
    <t>Cash</t>
  </si>
  <si>
    <t>Assets</t>
  </si>
  <si>
    <t>Check</t>
  </si>
  <si>
    <t>Net cash</t>
  </si>
  <si>
    <t>PTBA share trading</t>
  </si>
  <si>
    <t>PTBA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</si>
</sst>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795862</xdr:colOff>
      <xdr:row>2</xdr:row>
      <xdr:rowOff>181741</xdr:rowOff>
    </xdr:from>
    <xdr:to>
      <xdr:col>13</xdr:col>
      <xdr:colOff>672510</xdr:colOff>
      <xdr:row>46</xdr:row>
      <xdr:rowOff>202069</xdr:rowOff>
    </xdr:to>
    <xdr:pic>
      <xdr:nvPicPr>
        <xdr:cNvPr id="2" name="Image" descr="Image"/>
        <xdr:cNvPicPr>
          <a:picLocks noChangeAspect="0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28162" y="830711"/>
          <a:ext cx="8588849" cy="11229349"/>
        </a:xfrm>
        <a:prstGeom prst="rect">
          <a:avLst/>
        </a:prstGeom>
        <a:effectLst>
          <a:outerShdw sx="100000" sy="100000" kx="0" ky="0" algn="b" rotWithShape="0" blurRad="12700" dist="12700" dir="16200000">
            <a:srgbClr val="000000">
              <a:alpha val="2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3125" style="1" customWidth="1"/>
    <col min="2" max="2" width="14.7656" style="1" customWidth="1"/>
    <col min="3" max="6" width="9.03125" style="1" customWidth="1"/>
    <col min="7" max="16384" width="16.3516" style="1" customWidth="1"/>
  </cols>
  <sheetData>
    <row r="1" ht="23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AVERAGE('Sales'!H27:H30)</f>
        <v>0.26973367076981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0.02</v>
      </c>
      <c r="D5" s="12">
        <v>-0.02</v>
      </c>
      <c r="E5" s="12">
        <v>0.01</v>
      </c>
      <c r="F5" s="12">
        <v>0.1</v>
      </c>
    </row>
    <row r="6" ht="20.05" customHeight="1">
      <c r="B6" t="s" s="10">
        <v>5</v>
      </c>
      <c r="C6" s="13">
        <f>'Sales'!C30*(1+C5)</f>
        <v>9272.309999999999</v>
      </c>
      <c r="D6" s="14">
        <f>C6*(1+D5)</f>
        <v>9086.863799999999</v>
      </c>
      <c r="E6" s="14">
        <f>D6*(1+E5)</f>
        <v>9177.732437999999</v>
      </c>
      <c r="F6" s="14">
        <f>E6*(1+F5)</f>
        <v>10095.5056818</v>
      </c>
    </row>
    <row r="7" ht="20.05" customHeight="1">
      <c r="B7" t="s" s="10">
        <v>6</v>
      </c>
      <c r="C7" s="15">
        <f>AVERAGE('Sales'!I30)</f>
        <v>-0.636609647434135</v>
      </c>
      <c r="D7" s="16">
        <f>C7</f>
        <v>-0.636609647434135</v>
      </c>
      <c r="E7" s="16">
        <f>D7</f>
        <v>-0.636609647434135</v>
      </c>
      <c r="F7" s="16">
        <f>E7</f>
        <v>-0.636609647434135</v>
      </c>
    </row>
    <row r="8" ht="20.05" customHeight="1">
      <c r="B8" t="s" s="10">
        <v>7</v>
      </c>
      <c r="C8" s="17">
        <f>C7*C6</f>
        <v>-5902.842</v>
      </c>
      <c r="D8" s="18">
        <f>D7*D6</f>
        <v>-5784.78516</v>
      </c>
      <c r="E8" s="18">
        <f>E7*E6</f>
        <v>-5842.6330116</v>
      </c>
      <c r="F8" s="18">
        <f>F7*F6</f>
        <v>-6426.89631276</v>
      </c>
    </row>
    <row r="9" ht="20.05" customHeight="1">
      <c r="B9" t="s" s="10">
        <v>8</v>
      </c>
      <c r="C9" s="17">
        <f>C6+C8</f>
        <v>3369.468</v>
      </c>
      <c r="D9" s="18">
        <f>D6+D8</f>
        <v>3302.07864</v>
      </c>
      <c r="E9" s="18">
        <f>E6+E8</f>
        <v>3335.0994264</v>
      </c>
      <c r="F9" s="18">
        <f>F6+F8</f>
        <v>3668.60936904</v>
      </c>
    </row>
    <row r="10" ht="20.05" customHeight="1">
      <c r="B10" t="s" s="10">
        <v>9</v>
      </c>
      <c r="C10" s="17">
        <f>AVERAGE('Cashflow'!E30)</f>
        <v>-628.9</v>
      </c>
      <c r="D10" s="18">
        <f>C10</f>
        <v>-628.9</v>
      </c>
      <c r="E10" s="18">
        <f>D10</f>
        <v>-628.9</v>
      </c>
      <c r="F10" s="18">
        <f>E10</f>
        <v>-628.9</v>
      </c>
    </row>
    <row r="11" ht="20.05" customHeight="1">
      <c r="B11" t="s" s="10">
        <v>10</v>
      </c>
      <c r="C11" s="17">
        <f>AVERAGE('Cashflow'!D30)</f>
        <v>-70.90000000000001</v>
      </c>
      <c r="D11" s="18">
        <f>C11</f>
        <v>-70.90000000000001</v>
      </c>
      <c r="E11" s="18">
        <f>D11</f>
        <v>-70.90000000000001</v>
      </c>
      <c r="F11" s="18">
        <f>E11</f>
        <v>-70.90000000000001</v>
      </c>
    </row>
    <row r="12" ht="20.05" customHeight="1">
      <c r="B12" t="s" s="10">
        <v>11</v>
      </c>
      <c r="C12" s="17">
        <f>C13+C14+C16</f>
        <v>-1478.2204</v>
      </c>
      <c r="D12" s="18">
        <f>D13+D14+D16</f>
        <v>-1430.086092</v>
      </c>
      <c r="E12" s="18">
        <f>E13+E14+E16</f>
        <v>-1413.47070292</v>
      </c>
      <c r="F12" s="18">
        <f>F13+F14+F16</f>
        <v>-1488.328141962</v>
      </c>
    </row>
    <row r="13" ht="20.05" customHeight="1">
      <c r="B13" t="s" s="10">
        <v>12</v>
      </c>
      <c r="C13" s="17">
        <f>-('Balance sheet'!G30)/20</f>
        <v>-558.35</v>
      </c>
      <c r="D13" s="18">
        <f>-C28/20</f>
        <v>-530.4325</v>
      </c>
      <c r="E13" s="18">
        <f>-D28/20</f>
        <v>-503.910875</v>
      </c>
      <c r="F13" s="18">
        <f>-E28/20</f>
        <v>-478.71533125</v>
      </c>
    </row>
    <row r="14" ht="20.05" customHeight="1">
      <c r="B14" t="s" s="10">
        <v>13</v>
      </c>
      <c r="C14" s="17">
        <f>IF(C23&gt;0,-C23*0.3,0)</f>
        <v>-919.870400000001</v>
      </c>
      <c r="D14" s="18">
        <f>IF(D23&gt;0,-D23*0.3,0)</f>
        <v>-899.653592000001</v>
      </c>
      <c r="E14" s="18">
        <f>IF(E23&gt;0,-E23*0.3,0)</f>
        <v>-909.559827920001</v>
      </c>
      <c r="F14" s="18">
        <f>IF(F23&gt;0,-F23*0.3,0)</f>
        <v>-1009.612810712</v>
      </c>
    </row>
    <row r="15" ht="20.05" customHeight="1">
      <c r="B15" t="s" s="10">
        <v>14</v>
      </c>
      <c r="C15" s="17">
        <f>C9+C10+C13+C14</f>
        <v>1262.3476</v>
      </c>
      <c r="D15" s="18">
        <f>D9+D10+D13+D14</f>
        <v>1243.092548</v>
      </c>
      <c r="E15" s="18">
        <f>E9+E10+E13+E14</f>
        <v>1292.72872348</v>
      </c>
      <c r="F15" s="18">
        <f>F9+F10+F13+F14</f>
        <v>1551.381227078</v>
      </c>
    </row>
    <row r="16" ht="20.05" customHeight="1">
      <c r="B16" t="s" s="10">
        <v>15</v>
      </c>
      <c r="C16" s="17">
        <f>-MIN(0,C15)</f>
        <v>0</v>
      </c>
      <c r="D16" s="18">
        <f>-MIN(C29,D15)</f>
        <v>0</v>
      </c>
      <c r="E16" s="18">
        <f>-MIN(D29,E15)</f>
        <v>0</v>
      </c>
      <c r="F16" s="18">
        <f>-MIN(E29,F15)</f>
        <v>0</v>
      </c>
    </row>
    <row r="17" ht="20.05" customHeight="1">
      <c r="B17" t="s" s="10">
        <v>16</v>
      </c>
      <c r="C17" s="17">
        <f>'Balance sheet'!C30</f>
        <v>4819</v>
      </c>
      <c r="D17" s="18">
        <f>C19</f>
        <v>6081.3476</v>
      </c>
      <c r="E17" s="18">
        <f>D19</f>
        <v>7324.440148</v>
      </c>
      <c r="F17" s="18">
        <f>E19</f>
        <v>8617.16887148</v>
      </c>
    </row>
    <row r="18" ht="20.05" customHeight="1">
      <c r="B18" t="s" s="10">
        <v>17</v>
      </c>
      <c r="C18" s="17">
        <f>C9+C10+C12</f>
        <v>1262.3476</v>
      </c>
      <c r="D18" s="18">
        <f>D9+D10+D12</f>
        <v>1243.092548</v>
      </c>
      <c r="E18" s="18">
        <f>E9+E10+E12</f>
        <v>1292.72872348</v>
      </c>
      <c r="F18" s="18">
        <f>F9+F10+F12</f>
        <v>1551.381227078</v>
      </c>
    </row>
    <row r="19" ht="20.05" customHeight="1">
      <c r="B19" t="s" s="10">
        <v>18</v>
      </c>
      <c r="C19" s="17">
        <f>C17+C18</f>
        <v>6081.3476</v>
      </c>
      <c r="D19" s="18">
        <f>D17+D18</f>
        <v>7324.440148</v>
      </c>
      <c r="E19" s="18">
        <f>E17+E18</f>
        <v>8617.16887148</v>
      </c>
      <c r="F19" s="18">
        <f>F17+F18</f>
        <v>10168.550098558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-AVERAGE('Sales'!E30)</f>
        <v>-318.3</v>
      </c>
      <c r="D21" s="18">
        <f>C21</f>
        <v>-318.3</v>
      </c>
      <c r="E21" s="18">
        <f>D21</f>
        <v>-318.3</v>
      </c>
      <c r="F21" s="18">
        <f>E21</f>
        <v>-318.3</v>
      </c>
    </row>
    <row r="22" ht="20.05" customHeight="1">
      <c r="B22" t="s" s="10">
        <v>21</v>
      </c>
      <c r="C22" s="17">
        <f>AVERAGE('Sales'!F28:F30)</f>
        <v>15.0666666666667</v>
      </c>
      <c r="D22" s="18">
        <f>C22</f>
        <v>15.0666666666667</v>
      </c>
      <c r="E22" s="18">
        <f>D22</f>
        <v>15.0666666666667</v>
      </c>
      <c r="F22" s="18">
        <f>E22</f>
        <v>15.0666666666667</v>
      </c>
    </row>
    <row r="23" ht="20.05" customHeight="1">
      <c r="B23" t="s" s="10">
        <v>22</v>
      </c>
      <c r="C23" s="17">
        <f>C6+C8+C21+C22</f>
        <v>3066.234666666670</v>
      </c>
      <c r="D23" s="18">
        <f>D6+D8+D21+D22</f>
        <v>2998.845306666670</v>
      </c>
      <c r="E23" s="18">
        <f>E6+E8+E21+E22</f>
        <v>3031.866093066670</v>
      </c>
      <c r="F23" s="18">
        <f>F6+F8+F21+F22</f>
        <v>3365.376035706670</v>
      </c>
    </row>
    <row r="24" ht="20.05" customHeight="1">
      <c r="B24" t="s" s="19">
        <v>23</v>
      </c>
      <c r="C24" s="20"/>
      <c r="D24" s="21"/>
      <c r="E24" s="21"/>
      <c r="F24" s="18"/>
    </row>
    <row r="25" ht="20.05" customHeight="1">
      <c r="B25" t="s" s="10">
        <v>24</v>
      </c>
      <c r="C25" s="17">
        <f>'Balance sheet'!E30+'Balance sheet'!F30-C10+C22</f>
        <v>34506.9666666667</v>
      </c>
      <c r="D25" s="18">
        <f>C25-D10+D22</f>
        <v>35150.9333333334</v>
      </c>
      <c r="E25" s="18">
        <f>D25-E10+E22</f>
        <v>35794.9000000001</v>
      </c>
      <c r="F25" s="18">
        <f>E25-F10+F22</f>
        <v>36438.8666666668</v>
      </c>
    </row>
    <row r="26" ht="20.05" customHeight="1">
      <c r="B26" t="s" s="10">
        <v>25</v>
      </c>
      <c r="C26" s="17">
        <f>'Balance sheet'!F30-C21</f>
        <v>6809.3</v>
      </c>
      <c r="D26" s="18">
        <f>C26-D21</f>
        <v>7127.6</v>
      </c>
      <c r="E26" s="18">
        <f>D26-E21</f>
        <v>7445.9</v>
      </c>
      <c r="F26" s="18">
        <f>E26-F21</f>
        <v>7764.2</v>
      </c>
    </row>
    <row r="27" ht="20.05" customHeight="1">
      <c r="B27" t="s" s="10">
        <v>26</v>
      </c>
      <c r="C27" s="17">
        <f>C25-C26</f>
        <v>27697.6666666667</v>
      </c>
      <c r="D27" s="18">
        <f>D25-D26</f>
        <v>28023.3333333334</v>
      </c>
      <c r="E27" s="18">
        <f>E25-E26</f>
        <v>28349.0000000001</v>
      </c>
      <c r="F27" s="18">
        <f>F25-F26</f>
        <v>28674.6666666668</v>
      </c>
    </row>
    <row r="28" ht="20.05" customHeight="1">
      <c r="B28" t="s" s="10">
        <v>12</v>
      </c>
      <c r="C28" s="17">
        <f>'Balance sheet'!G30+C13</f>
        <v>10608.65</v>
      </c>
      <c r="D28" s="18">
        <f>C28+D13</f>
        <v>10078.2175</v>
      </c>
      <c r="E28" s="18">
        <f>D28+E13</f>
        <v>9574.306624999999</v>
      </c>
      <c r="F28" s="18">
        <f>E28+F13</f>
        <v>9095.59129375</v>
      </c>
    </row>
    <row r="29" ht="20.05" customHeight="1">
      <c r="B29" t="s" s="10">
        <v>15</v>
      </c>
      <c r="C29" s="17">
        <f>C16</f>
        <v>0</v>
      </c>
      <c r="D29" s="18">
        <f>C29+D16</f>
        <v>0</v>
      </c>
      <c r="E29" s="18">
        <f>D29+E16</f>
        <v>0</v>
      </c>
      <c r="F29" s="18">
        <f>E29+F16</f>
        <v>0</v>
      </c>
    </row>
    <row r="30" ht="20.05" customHeight="1">
      <c r="B30" t="s" s="10">
        <v>27</v>
      </c>
      <c r="C30" s="17">
        <f>'Balance sheet'!H30+C23+C14</f>
        <v>23170.3642666667</v>
      </c>
      <c r="D30" s="18">
        <f>C30+D23+D14</f>
        <v>25269.5559813334</v>
      </c>
      <c r="E30" s="18">
        <f>D30+E23+E14</f>
        <v>27391.8622464801</v>
      </c>
      <c r="F30" s="18">
        <f>E30+F23+F14</f>
        <v>29747.6254714748</v>
      </c>
    </row>
    <row r="31" ht="20.05" customHeight="1">
      <c r="B31" t="s" s="10">
        <v>28</v>
      </c>
      <c r="C31" s="17">
        <f>C28+C29+C30-C19-C27</f>
        <v>0</v>
      </c>
      <c r="D31" s="18">
        <f>D28+D29+D30-D19-D27</f>
        <v>0</v>
      </c>
      <c r="E31" s="18">
        <f>E28+E29+E30-E19-E27</f>
        <v>0</v>
      </c>
      <c r="F31" s="18">
        <f>F28+F29+F30-F19-F27</f>
        <v>0</v>
      </c>
    </row>
    <row r="32" ht="20.05" customHeight="1">
      <c r="B32" t="s" s="10">
        <v>29</v>
      </c>
      <c r="C32" s="17">
        <f>C19-C28-C29</f>
        <v>-4527.3024</v>
      </c>
      <c r="D32" s="18">
        <f>D19-D28-D29</f>
        <v>-2753.777352</v>
      </c>
      <c r="E32" s="18">
        <f>E19-E28-E29</f>
        <v>-957.13775352</v>
      </c>
      <c r="F32" s="18">
        <f>F19-F28-F29</f>
        <v>1072.958804808</v>
      </c>
    </row>
    <row r="33" ht="20.05" customHeight="1">
      <c r="B33" t="s" s="19">
        <v>30</v>
      </c>
      <c r="C33" s="17"/>
      <c r="D33" s="18"/>
      <c r="E33" s="18"/>
      <c r="F33" s="18"/>
    </row>
    <row r="34" ht="20.05" customHeight="1">
      <c r="B34" t="s" s="10">
        <v>31</v>
      </c>
      <c r="C34" s="17">
        <f>'Cashflow'!K30-(C12-C11)</f>
        <v>15465.7204</v>
      </c>
      <c r="D34" s="18">
        <f>C34-(D12-D11)</f>
        <v>16824.906492</v>
      </c>
      <c r="E34" s="18">
        <f>D34-(E12-E11)</f>
        <v>18167.47719492</v>
      </c>
      <c r="F34" s="18">
        <f>E34-(F12-F11)</f>
        <v>19584.905336882</v>
      </c>
    </row>
    <row r="35" ht="20.05" customHeight="1">
      <c r="B35" t="s" s="10">
        <v>32</v>
      </c>
      <c r="C35" s="17"/>
      <c r="D35" s="18"/>
      <c r="E35" s="18"/>
      <c r="F35" s="18">
        <v>31200</v>
      </c>
    </row>
    <row r="36" ht="20.05" customHeight="1">
      <c r="B36" t="s" s="10">
        <v>33</v>
      </c>
      <c r="C36" s="17"/>
      <c r="D36" s="18"/>
      <c r="E36" s="18"/>
      <c r="F36" s="23">
        <f>F35/(F19+F27)</f>
        <v>0.803229047392708</v>
      </c>
    </row>
    <row r="37" ht="20.05" customHeight="1">
      <c r="B37" t="s" s="10">
        <v>34</v>
      </c>
      <c r="C37" s="17"/>
      <c r="D37" s="18"/>
      <c r="E37" s="18"/>
      <c r="F37" s="16">
        <f>-(C14+D14+E14+F14)/F35</f>
        <v>0.119830020212564</v>
      </c>
    </row>
    <row r="38" ht="20.05" customHeight="1">
      <c r="B38" t="s" s="10">
        <v>3</v>
      </c>
      <c r="C38" s="17"/>
      <c r="D38" s="18"/>
      <c r="E38" s="18"/>
      <c r="F38" s="18">
        <f>SUM(C9:F11)</f>
        <v>10876.05543544</v>
      </c>
    </row>
    <row r="39" ht="20.05" customHeight="1">
      <c r="B39" t="s" s="10">
        <v>35</v>
      </c>
      <c r="C39" s="17"/>
      <c r="D39" s="18"/>
      <c r="E39" s="18"/>
      <c r="F39" s="24">
        <f>'Balance sheet'!E29/F38</f>
        <v>2.25899915147003</v>
      </c>
    </row>
    <row r="40" ht="20.05" customHeight="1">
      <c r="B40" t="s" s="10">
        <v>30</v>
      </c>
      <c r="C40" s="17"/>
      <c r="D40" s="18"/>
      <c r="E40" s="18"/>
      <c r="F40" s="18">
        <f>F35/F38</f>
        <v>2.86868710675506</v>
      </c>
    </row>
    <row r="41" ht="20.05" customHeight="1">
      <c r="B41" t="s" s="10">
        <v>36</v>
      </c>
      <c r="C41" s="17"/>
      <c r="D41" s="18"/>
      <c r="E41" s="18"/>
      <c r="F41" s="18">
        <v>10</v>
      </c>
    </row>
    <row r="42" ht="20.05" customHeight="1">
      <c r="B42" t="s" s="10">
        <v>37</v>
      </c>
      <c r="C42" s="17"/>
      <c r="D42" s="18"/>
      <c r="E42" s="18"/>
      <c r="F42" s="18">
        <f>F38*F41</f>
        <v>108760.5543544</v>
      </c>
    </row>
    <row r="43" ht="20.05" customHeight="1">
      <c r="B43" t="s" s="10">
        <v>38</v>
      </c>
      <c r="C43" s="17"/>
      <c r="D43" s="18"/>
      <c r="E43" s="18"/>
      <c r="F43" s="18">
        <f>F35/F45</f>
        <v>11.3454545454545</v>
      </c>
    </row>
    <row r="44" ht="20.05" customHeight="1">
      <c r="B44" t="s" s="10">
        <v>39</v>
      </c>
      <c r="C44" s="17"/>
      <c r="D44" s="18"/>
      <c r="E44" s="18"/>
      <c r="F44" s="18">
        <f>F42/F43</f>
        <v>9586.266810083371</v>
      </c>
    </row>
    <row r="45" ht="20.05" customHeight="1">
      <c r="B45" t="s" s="10">
        <v>40</v>
      </c>
      <c r="C45" s="17"/>
      <c r="D45" s="18"/>
      <c r="E45" s="18"/>
      <c r="F45" s="18">
        <f>'Share price'!C97</f>
        <v>2750</v>
      </c>
    </row>
    <row r="46" ht="20.05" customHeight="1">
      <c r="B46" t="s" s="10">
        <v>41</v>
      </c>
      <c r="C46" s="17"/>
      <c r="D46" s="18"/>
      <c r="E46" s="18"/>
      <c r="F46" s="16">
        <f>F44/F45-1</f>
        <v>2.48591520366668</v>
      </c>
    </row>
    <row r="47" ht="20.05" customHeight="1">
      <c r="B47" t="s" s="10">
        <v>42</v>
      </c>
      <c r="C47" s="17"/>
      <c r="D47" s="18"/>
      <c r="E47" s="18"/>
      <c r="F47" s="16">
        <f>'Sales'!C30/'Sales'!C26-1</f>
        <v>1.36916862131874</v>
      </c>
    </row>
    <row r="48" ht="20.05" customHeight="1">
      <c r="B48" t="s" s="10">
        <v>43</v>
      </c>
      <c r="C48" s="17"/>
      <c r="D48" s="18"/>
      <c r="E48" s="18"/>
      <c r="F48" s="16">
        <f>('Sales'!D23+'Sales'!D24+'Sales'!D25+'Sales'!D26+'Sales'!D27+'Sales'!D28+'Sales'!D29)/('Sales'!C23+'Sales'!C24+'Sales'!C25+'Sales'!C26+'Sales'!C27+'Sales'!C28+'Sales'!C29)-1</f>
        <v>0.0135546503234191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2969" style="25" customWidth="1"/>
    <col min="2" max="2" width="6.625" style="25" customWidth="1"/>
    <col min="3" max="10" width="9.83594" style="25" customWidth="1"/>
    <col min="11" max="16384" width="16.3516" style="25" customWidth="1"/>
  </cols>
  <sheetData>
    <row r="1" ht="25.9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36</v>
      </c>
      <c r="E3" t="s" s="4">
        <v>25</v>
      </c>
      <c r="F3" t="s" s="4">
        <v>44</v>
      </c>
      <c r="G3" t="s" s="4">
        <v>22</v>
      </c>
      <c r="H3" t="s" s="4">
        <v>45</v>
      </c>
      <c r="I3" t="s" s="4">
        <v>46</v>
      </c>
      <c r="J3" t="s" s="4">
        <v>47</v>
      </c>
    </row>
    <row r="4" ht="20.25" customHeight="1">
      <c r="B4" s="26">
        <v>2015</v>
      </c>
      <c r="C4" s="27">
        <v>3277</v>
      </c>
      <c r="D4" s="28"/>
      <c r="E4" s="29">
        <v>69</v>
      </c>
      <c r="F4" s="29">
        <v>59</v>
      </c>
      <c r="G4" s="29">
        <v>340</v>
      </c>
      <c r="H4" s="9"/>
      <c r="I4" s="30">
        <f>(E4+G4-F4-C4)/C4</f>
        <v>-0.893194995422643</v>
      </c>
      <c r="J4" s="30"/>
    </row>
    <row r="5" ht="20.05" customHeight="1">
      <c r="B5" s="31"/>
      <c r="C5" s="17">
        <v>3235</v>
      </c>
      <c r="D5" s="21"/>
      <c r="E5" s="18">
        <v>71</v>
      </c>
      <c r="F5" s="18">
        <v>62</v>
      </c>
      <c r="G5" s="18">
        <v>455</v>
      </c>
      <c r="H5" s="16">
        <f>C5/C4-1</f>
        <v>-0.0128166005492829</v>
      </c>
      <c r="I5" s="16">
        <f>(E5+G5-F5-C5)/C5</f>
        <v>-0.856568778979907</v>
      </c>
      <c r="J5" s="16"/>
    </row>
    <row r="6" ht="20.05" customHeight="1">
      <c r="B6" s="31"/>
      <c r="C6" s="17">
        <v>3990</v>
      </c>
      <c r="D6" s="21"/>
      <c r="E6" s="18">
        <v>94</v>
      </c>
      <c r="F6" s="18">
        <v>67</v>
      </c>
      <c r="G6" s="18">
        <v>709</v>
      </c>
      <c r="H6" s="16">
        <f>C6/C5-1</f>
        <v>0.23338485316847</v>
      </c>
      <c r="I6" s="16">
        <f>(E6+G6-F6-C6)/C6</f>
        <v>-0.815538847117794</v>
      </c>
      <c r="J6" s="16"/>
    </row>
    <row r="7" ht="20.05" customHeight="1">
      <c r="B7" s="31"/>
      <c r="C7" s="17">
        <v>3343</v>
      </c>
      <c r="D7" s="21"/>
      <c r="E7" s="18">
        <v>140</v>
      </c>
      <c r="F7" s="18">
        <v>-54</v>
      </c>
      <c r="G7" s="18">
        <v>533</v>
      </c>
      <c r="H7" s="16">
        <f>C7/C6-1</f>
        <v>-0.162155388471178</v>
      </c>
      <c r="I7" s="16">
        <f>(E7+G7-F7-C7)/C7</f>
        <v>-0.78253066108286</v>
      </c>
      <c r="J7" s="16"/>
    </row>
    <row r="8" ht="20.05" customHeight="1">
      <c r="B8" s="32">
        <v>2016</v>
      </c>
      <c r="C8" s="17">
        <v>3545</v>
      </c>
      <c r="D8" s="21"/>
      <c r="E8" s="18">
        <v>117</v>
      </c>
      <c r="F8" s="18">
        <v>41</v>
      </c>
      <c r="G8" s="18">
        <v>333</v>
      </c>
      <c r="H8" s="16">
        <f>C8/C7-1</f>
        <v>0.0604247681723003</v>
      </c>
      <c r="I8" s="16">
        <f>(E8+G8-F8-C8)/C8</f>
        <v>-0.884626234132581</v>
      </c>
      <c r="J8" s="16"/>
    </row>
    <row r="9" ht="20.05" customHeight="1">
      <c r="B9" s="31"/>
      <c r="C9" s="17">
        <v>3213</v>
      </c>
      <c r="D9" s="21"/>
      <c r="E9" s="18">
        <v>99</v>
      </c>
      <c r="F9" s="18">
        <v>62</v>
      </c>
      <c r="G9" s="18">
        <v>381</v>
      </c>
      <c r="H9" s="16">
        <f>C9/C8-1</f>
        <v>-0.09365303244005641</v>
      </c>
      <c r="I9" s="16">
        <f>(E9+G9-F9-C9)/C9</f>
        <v>-0.86990351696234</v>
      </c>
      <c r="J9" s="16">
        <f>('Cashflow'!F6+'Cashflow'!F7+'Cashflow'!F8+'Cashflow'!F9-'Cashflow'!C6-'Cashflow'!C7-'Cashflow'!C8-'Cashflow'!C9)/('Cashflow'!C6+'Cashflow'!C7+'Cashflow'!C8+'Cashflow'!C9)</f>
        <v>-0.883385763406248</v>
      </c>
    </row>
    <row r="10" ht="20.05" customHeight="1">
      <c r="B10" s="31"/>
      <c r="C10" s="17">
        <v>3284</v>
      </c>
      <c r="D10" s="21"/>
      <c r="E10" s="18">
        <v>119</v>
      </c>
      <c r="F10" s="18">
        <v>50</v>
      </c>
      <c r="G10" s="18">
        <v>341</v>
      </c>
      <c r="H10" s="16">
        <f>C10/C9-1</f>
        <v>0.0220977279800809</v>
      </c>
      <c r="I10" s="16">
        <f>(E10+G10-F10-C10)/C10</f>
        <v>-0.875152253349574</v>
      </c>
      <c r="J10" s="16">
        <f>('Cashflow'!F7+'Cashflow'!F8+'Cashflow'!F9+'Cashflow'!F10-'Cashflow'!C7-'Cashflow'!C8-'Cashflow'!C9-'Cashflow'!C10)/('Cashflow'!C7+'Cashflow'!C8+'Cashflow'!C9+'Cashflow'!C10)</f>
        <v>-0.934825284648606</v>
      </c>
    </row>
    <row r="11" ht="20.05" customHeight="1">
      <c r="B11" s="31"/>
      <c r="C11" s="17">
        <v>4017</v>
      </c>
      <c r="D11" s="21"/>
      <c r="E11" s="18">
        <v>102</v>
      </c>
      <c r="F11" s="18">
        <v>-3</v>
      </c>
      <c r="G11" s="18">
        <v>969</v>
      </c>
      <c r="H11" s="16">
        <f>C11/C10-1</f>
        <v>0.22320341047503</v>
      </c>
      <c r="I11" s="16">
        <f>(E11+G11-F11-C11)/C11</f>
        <v>-0.732636295743092</v>
      </c>
      <c r="J11" s="16">
        <f>('Cashflow'!F8+'Cashflow'!F9+'Cashflow'!F10+'Cashflow'!F11-'Cashflow'!C8-'Cashflow'!C9-'Cashflow'!C10-'Cashflow'!C11)/('Cashflow'!C8+'Cashflow'!C9+'Cashflow'!C10+'Cashflow'!C11)</f>
        <v>-0.855785773057072</v>
      </c>
    </row>
    <row r="12" ht="20.05" customHeight="1">
      <c r="B12" s="32">
        <v>2017</v>
      </c>
      <c r="C12" s="17">
        <v>4547</v>
      </c>
      <c r="D12" s="21"/>
      <c r="E12" s="18">
        <v>155</v>
      </c>
      <c r="F12" s="18">
        <v>34</v>
      </c>
      <c r="G12" s="18">
        <v>884</v>
      </c>
      <c r="H12" s="16">
        <f>C12/C11-1</f>
        <v>0.13193925815285</v>
      </c>
      <c r="I12" s="16">
        <f>(E12+G12-F12-C12)/C12</f>
        <v>-0.778975148449527</v>
      </c>
      <c r="J12" s="16">
        <f>('Cashflow'!F9+'Cashflow'!F10+'Cashflow'!F11+'Cashflow'!F12-'Cashflow'!C9-'Cashflow'!C10-'Cashflow'!C11-'Cashflow'!C12)/('Cashflow'!C9+'Cashflow'!C10+'Cashflow'!C11+'Cashflow'!C12)</f>
        <v>-0.83847180279514</v>
      </c>
    </row>
    <row r="13" ht="20.05" customHeight="1">
      <c r="B13" s="31"/>
      <c r="C13" s="17">
        <v>4420</v>
      </c>
      <c r="D13" s="21"/>
      <c r="E13" s="18">
        <v>180</v>
      </c>
      <c r="F13" s="18">
        <v>32</v>
      </c>
      <c r="G13" s="18">
        <v>863</v>
      </c>
      <c r="H13" s="16">
        <f>C13/C12-1</f>
        <v>-0.0279305036287662</v>
      </c>
      <c r="I13" s="16">
        <f>(E13+G13-F13-C13)/C13</f>
        <v>-0.771266968325792</v>
      </c>
      <c r="J13" s="16">
        <f>('Cashflow'!F10+'Cashflow'!F11+'Cashflow'!F12+'Cashflow'!F13-'Cashflow'!C10-'Cashflow'!C11-'Cashflow'!C12-'Cashflow'!C13)/('Cashflow'!C10+'Cashflow'!C11+'Cashflow'!C12+'Cashflow'!C13)</f>
        <v>-0.825027917364601</v>
      </c>
    </row>
    <row r="14" ht="20.05" customHeight="1">
      <c r="B14" s="31"/>
      <c r="C14" s="17">
        <v>4320</v>
      </c>
      <c r="D14" s="21"/>
      <c r="E14" s="18">
        <v>127</v>
      </c>
      <c r="F14" s="18">
        <v>45</v>
      </c>
      <c r="G14" s="18">
        <v>917</v>
      </c>
      <c r="H14" s="16">
        <f>C14/C13-1</f>
        <v>-0.0226244343891403</v>
      </c>
      <c r="I14" s="16">
        <f>(E14+G14-F14-C14)/C14</f>
        <v>-0.76875</v>
      </c>
      <c r="J14" s="16">
        <f>('Cashflow'!F11+'Cashflow'!F12+'Cashflow'!F13+'Cashflow'!F14-'Cashflow'!C11-'Cashflow'!C12-'Cashflow'!C13-'Cashflow'!C14)/('Cashflow'!C11+'Cashflow'!C12+'Cashflow'!C13+'Cashflow'!C14)</f>
        <v>-0.791492374026643</v>
      </c>
    </row>
    <row r="15" ht="20.05" customHeight="1">
      <c r="B15" s="31"/>
      <c r="C15" s="17">
        <v>6184</v>
      </c>
      <c r="D15" s="21"/>
      <c r="E15" s="18">
        <v>205</v>
      </c>
      <c r="F15" s="18">
        <v>11</v>
      </c>
      <c r="G15" s="18">
        <v>1883</v>
      </c>
      <c r="H15" s="16">
        <f>C15/C14-1</f>
        <v>0.431481481481481</v>
      </c>
      <c r="I15" s="16">
        <f>(E15+G15-F15-C15)/C15</f>
        <v>-0.664133247089263</v>
      </c>
      <c r="J15" s="16">
        <f>('Cashflow'!F12+'Cashflow'!F13+'Cashflow'!F14+'Cashflow'!F15-'Cashflow'!C12-'Cashflow'!C13-'Cashflow'!C14-'Cashflow'!C15)/('Cashflow'!C12+'Cashflow'!C13+'Cashflow'!C14+'Cashflow'!C15)</f>
        <v>-0.852851572020473</v>
      </c>
    </row>
    <row r="16" ht="20.05" customHeight="1">
      <c r="B16" s="32">
        <v>2018</v>
      </c>
      <c r="C16" s="17">
        <v>5749</v>
      </c>
      <c r="D16" s="21"/>
      <c r="E16" s="18">
        <v>206</v>
      </c>
      <c r="F16" s="18">
        <v>30</v>
      </c>
      <c r="G16" s="18">
        <v>1474</v>
      </c>
      <c r="H16" s="16">
        <f>C16/C15-1</f>
        <v>-0.0703428201811125</v>
      </c>
      <c r="I16" s="16">
        <f>(E16+G16-F16-C16)/C16</f>
        <v>-0.712993564098104</v>
      </c>
      <c r="J16" s="16">
        <f>('Cashflow'!F13+'Cashflow'!F14+'Cashflow'!F15+'Cashflow'!F16-'Cashflow'!C13-'Cashflow'!C14-'Cashflow'!C15-'Cashflow'!C16)/('Cashflow'!C13+'Cashflow'!C14+'Cashflow'!C15+'Cashflow'!C16)</f>
        <v>-0.676396830173538</v>
      </c>
    </row>
    <row r="17" ht="20.05" customHeight="1">
      <c r="B17" s="31"/>
      <c r="C17" s="17">
        <v>4743</v>
      </c>
      <c r="D17" s="21"/>
      <c r="E17" s="18">
        <v>162</v>
      </c>
      <c r="F17" s="18">
        <v>76</v>
      </c>
      <c r="G17" s="18">
        <v>1232</v>
      </c>
      <c r="H17" s="16">
        <f>C17/C16-1</f>
        <v>-0.174986954252914</v>
      </c>
      <c r="I17" s="16">
        <f>(E17+G17-F17-C17)/C17</f>
        <v>-0.7221168037107319</v>
      </c>
      <c r="J17" s="16">
        <f>('Cashflow'!F14+'Cashflow'!F15+'Cashflow'!F16+'Cashflow'!F17-'Cashflow'!C14-'Cashflow'!C15-'Cashflow'!C16-'Cashflow'!C17)/('Cashflow'!C14+'Cashflow'!C15+'Cashflow'!C16+'Cashflow'!C17)</f>
        <v>-0.727939035045141</v>
      </c>
    </row>
    <row r="18" ht="20.05" customHeight="1">
      <c r="B18" s="31"/>
      <c r="C18" s="17">
        <v>5544</v>
      </c>
      <c r="D18" s="21"/>
      <c r="E18" s="18">
        <v>107</v>
      </c>
      <c r="F18" s="18">
        <v>15</v>
      </c>
      <c r="G18" s="18">
        <v>1288</v>
      </c>
      <c r="H18" s="16">
        <f>C18/C17-1</f>
        <v>0.16888045540797</v>
      </c>
      <c r="I18" s="16">
        <f>(E18+G18-F18-C18)/C18</f>
        <v>-0.751082251082251</v>
      </c>
      <c r="J18" s="16">
        <f>('Cashflow'!F15+'Cashflow'!F16+'Cashflow'!F17+'Cashflow'!F18-'Cashflow'!C15-'Cashflow'!C16-'Cashflow'!C17-'Cashflow'!C18)/('Cashflow'!C15+'Cashflow'!C16+'Cashflow'!C17+'Cashflow'!C18)</f>
        <v>-0.705147186901237</v>
      </c>
    </row>
    <row r="19" ht="20.05" customHeight="1">
      <c r="B19" s="31"/>
      <c r="C19" s="17">
        <v>5131</v>
      </c>
      <c r="D19" s="21"/>
      <c r="E19" s="18">
        <v>231</v>
      </c>
      <c r="F19" s="18">
        <v>231</v>
      </c>
      <c r="G19" s="18">
        <v>1127</v>
      </c>
      <c r="H19" s="16">
        <f>C19/C18-1</f>
        <v>-0.0744949494949495</v>
      </c>
      <c r="I19" s="16">
        <f>(E19+G19-F19-C19)/C19</f>
        <v>-0.780354706684857</v>
      </c>
      <c r="J19" s="16">
        <f>('Cashflow'!F16+'Cashflow'!F17+'Cashflow'!F18+'Cashflow'!F19-'Cashflow'!C16-'Cashflow'!C17-'Cashflow'!C18-'Cashflow'!C19)/('Cashflow'!C16+'Cashflow'!C17+'Cashflow'!C18+'Cashflow'!C19)</f>
        <v>-0.668422605250959</v>
      </c>
    </row>
    <row r="20" ht="20.05" customHeight="1">
      <c r="B20" s="32">
        <v>2019</v>
      </c>
      <c r="C20" s="17">
        <v>5337</v>
      </c>
      <c r="D20" s="21"/>
      <c r="E20" s="18">
        <v>176</v>
      </c>
      <c r="F20" s="18">
        <v>33</v>
      </c>
      <c r="G20" s="18">
        <v>1151</v>
      </c>
      <c r="H20" s="16">
        <f>C20/C19-1</f>
        <v>0.0401481192749951</v>
      </c>
      <c r="I20" s="16">
        <f>(E20+G20-F20-C20)/C20</f>
        <v>-0.757541690088064</v>
      </c>
      <c r="J20" s="16">
        <f>('Cashflow'!F17+'Cashflow'!F18+'Cashflow'!F19+'Cashflow'!F20-'Cashflow'!C17-'Cashflow'!C18-'Cashflow'!C19-'Cashflow'!C20)/('Cashflow'!C17+'Cashflow'!C18+'Cashflow'!C19+'Cashflow'!C20)</f>
        <v>-0.791640105637009</v>
      </c>
    </row>
    <row r="21" ht="20.05" customHeight="1">
      <c r="B21" s="31"/>
      <c r="C21" s="17">
        <v>5278</v>
      </c>
      <c r="D21" s="21"/>
      <c r="E21" s="18">
        <v>188</v>
      </c>
      <c r="F21" s="18">
        <v>24</v>
      </c>
      <c r="G21" s="18">
        <v>875</v>
      </c>
      <c r="H21" s="16">
        <f>C21/C20-1</f>
        <v>-0.0110548997564175</v>
      </c>
      <c r="I21" s="16">
        <f>(E21+G21-F21-C21)/C21</f>
        <v>-0.803145130731338</v>
      </c>
      <c r="J21" s="16">
        <f>('Cashflow'!F18+'Cashflow'!F19+'Cashflow'!F20+'Cashflow'!F21-'Cashflow'!C18-'Cashflow'!C19-'Cashflow'!C20-'Cashflow'!C21)/('Cashflow'!C18+'Cashflow'!C19+'Cashflow'!C20+'Cashflow'!C21)</f>
        <v>-0.768027687724525</v>
      </c>
    </row>
    <row r="22" ht="20.05" customHeight="1">
      <c r="B22" s="31"/>
      <c r="C22" s="17">
        <v>5639</v>
      </c>
      <c r="D22" s="21"/>
      <c r="E22" s="18">
        <v>214</v>
      </c>
      <c r="F22" s="18">
        <v>38</v>
      </c>
      <c r="G22" s="18">
        <v>1099</v>
      </c>
      <c r="H22" s="16">
        <f>C22/C21-1</f>
        <v>0.06839712012125811</v>
      </c>
      <c r="I22" s="16">
        <f>(E22+G22-F22-C22)/C22</f>
        <v>-0.773896080865402</v>
      </c>
      <c r="J22" s="16">
        <f>('Cashflow'!F19+'Cashflow'!F20+'Cashflow'!F21+'Cashflow'!F22-'Cashflow'!C19-'Cashflow'!C20-'Cashflow'!C21-'Cashflow'!C22)/('Cashflow'!C19+'Cashflow'!C20+'Cashflow'!C21+'Cashflow'!C22)</f>
        <v>-0.792121636655816</v>
      </c>
    </row>
    <row r="23" ht="20.05" customHeight="1">
      <c r="B23" s="31"/>
      <c r="C23" s="17">
        <v>5534</v>
      </c>
      <c r="D23" s="18">
        <v>5644.1</v>
      </c>
      <c r="E23" s="18">
        <v>193</v>
      </c>
      <c r="F23" s="18">
        <v>84</v>
      </c>
      <c r="G23" s="18">
        <v>915</v>
      </c>
      <c r="H23" s="16">
        <f>C23/C22-1</f>
        <v>-0.018620322752261</v>
      </c>
      <c r="I23" s="16">
        <f>(E23+G23-F23-C23)/C23</f>
        <v>-0.814962052764727</v>
      </c>
      <c r="J23" s="16">
        <f>('Cashflow'!F20+'Cashflow'!F21+'Cashflow'!F22+'Cashflow'!F23-'Cashflow'!C20-'Cashflow'!C21-'Cashflow'!C22-'Cashflow'!C23)/('Cashflow'!C20+'Cashflow'!C21+'Cashflow'!C22+'Cashflow'!C23)</f>
        <v>-0.802464594445466</v>
      </c>
    </row>
    <row r="24" ht="20.05" customHeight="1">
      <c r="B24" s="32">
        <v>2020</v>
      </c>
      <c r="C24" s="17">
        <v>5122</v>
      </c>
      <c r="D24" s="18">
        <v>5337</v>
      </c>
      <c r="E24" s="18">
        <v>251</v>
      </c>
      <c r="F24" s="18">
        <v>39</v>
      </c>
      <c r="G24" s="18">
        <v>909</v>
      </c>
      <c r="H24" s="16">
        <f>C24/C23-1</f>
        <v>-0.0744488615829418</v>
      </c>
      <c r="I24" s="16">
        <f>(E24+G24-F24-C24)/C24</f>
        <v>-0.7811401796173369</v>
      </c>
      <c r="J24" s="16">
        <f>('Cashflow'!F21+'Cashflow'!F22+'Cashflow'!F23+'Cashflow'!F24-'Cashflow'!C21-'Cashflow'!C22-'Cashflow'!C23-'Cashflow'!C24)/('Cashflow'!C21+'Cashflow'!C22+'Cashflow'!C23+'Cashflow'!C24)</f>
        <v>-0.796380934614308</v>
      </c>
    </row>
    <row r="25" ht="20.05" customHeight="1">
      <c r="B25" s="31"/>
      <c r="C25" s="17">
        <f>9012-C24</f>
        <v>3890</v>
      </c>
      <c r="D25" s="18">
        <v>4750.2</v>
      </c>
      <c r="E25" s="18">
        <f>521-E24</f>
        <v>270</v>
      </c>
      <c r="F25" s="18">
        <f>260-F24</f>
        <v>221</v>
      </c>
      <c r="G25" s="18">
        <f>1300-G24</f>
        <v>391</v>
      </c>
      <c r="H25" s="16">
        <f>C25/C24-1</f>
        <v>-0.240531042561499</v>
      </c>
      <c r="I25" s="16">
        <f>(E25+G25-F25-C25)/C25</f>
        <v>-0.886889460154242</v>
      </c>
      <c r="J25" s="16">
        <f>('Cashflow'!F22+'Cashflow'!F23+'Cashflow'!F24+'Cashflow'!F25-'Cashflow'!C22-'Cashflow'!C23-'Cashflow'!C24-'Cashflow'!C25)/('Cashflow'!C22+'Cashflow'!C23+'Cashflow'!C24+'Cashflow'!C25)</f>
        <v>-0.791366563319819</v>
      </c>
    </row>
    <row r="26" ht="20.05" customHeight="1">
      <c r="B26" s="31"/>
      <c r="C26" s="17">
        <f>12849-SUM(C24:C25)</f>
        <v>3837</v>
      </c>
      <c r="D26" s="18">
        <v>4084.5</v>
      </c>
      <c r="E26" s="18">
        <f>795-SUM(E24:E25)</f>
        <v>274</v>
      </c>
      <c r="F26" s="18">
        <f>332-SUM(F24:F25)</f>
        <v>72</v>
      </c>
      <c r="G26" s="18">
        <f>1741-SUM(G24:G25)</f>
        <v>441</v>
      </c>
      <c r="H26" s="16">
        <f>C26/C25-1</f>
        <v>-0.0136246786632391</v>
      </c>
      <c r="I26" s="16">
        <f>(E26+G26-F26-C26)/C26</f>
        <v>-0.832421162366432</v>
      </c>
      <c r="J26" s="16">
        <f>('Cashflow'!F23+'Cashflow'!F24+'Cashflow'!F25+'Cashflow'!F26-'Cashflow'!C23-'Cashflow'!C24-'Cashflow'!C25-'Cashflow'!C26)/('Cashflow'!C23+'Cashflow'!C24+'Cashflow'!C25+'Cashflow'!C26)</f>
        <v>-0.7702191987906269</v>
      </c>
    </row>
    <row r="27" ht="20.05" customHeight="1">
      <c r="B27" s="31"/>
      <c r="C27" s="17">
        <f>17325.19-SUM(C24:C26)</f>
        <v>4476.19</v>
      </c>
      <c r="D27" s="18">
        <v>4719.51</v>
      </c>
      <c r="E27" s="18">
        <f>1037.9-SUM(E24:E26)</f>
        <v>242.9</v>
      </c>
      <c r="F27" s="18">
        <f>481.27-SUM(F24:F26)</f>
        <v>149.27</v>
      </c>
      <c r="G27" s="18">
        <f>2407.92-SUM(G24:G26)</f>
        <v>666.92</v>
      </c>
      <c r="H27" s="16">
        <f>C27/C26-1</f>
        <v>0.166585874381027</v>
      </c>
      <c r="I27" s="16">
        <f>(E27+G27-F27-C27)/C27</f>
        <v>-0.830089875541476</v>
      </c>
      <c r="J27" s="16">
        <f>('Cashflow'!F24+'Cashflow'!F25+'Cashflow'!F26+'Cashflow'!F27-'Cashflow'!C24-'Cashflow'!C25-'Cashflow'!C26-'Cashflow'!C27)/('Cashflow'!C24+'Cashflow'!C25+'Cashflow'!C26+'Cashflow'!C27)</f>
        <v>-0.805096686155519</v>
      </c>
    </row>
    <row r="28" ht="20.05" customHeight="1">
      <c r="B28" s="32">
        <v>2021</v>
      </c>
      <c r="C28" s="17">
        <v>3994.9</v>
      </c>
      <c r="D28" s="18">
        <v>4789.5233</v>
      </c>
      <c r="E28" s="18">
        <v>252.2</v>
      </c>
      <c r="F28" s="18">
        <v>77.7</v>
      </c>
      <c r="G28" s="18">
        <v>510.5</v>
      </c>
      <c r="H28" s="16">
        <f>C28/C27-1</f>
        <v>-0.10752224548109</v>
      </c>
      <c r="I28" s="16">
        <f>(E28+G28-F28-C28)/C28</f>
        <v>-0.828531377506321</v>
      </c>
      <c r="J28" s="16">
        <f>('Cashflow'!F25+'Cashflow'!F26+'Cashflow'!F27+'Cashflow'!F28-'Cashflow'!C25-'Cashflow'!C26-'Cashflow'!C27-'Cashflow'!C28)/('Cashflow'!C25+'Cashflow'!C26+'Cashflow'!C27+'Cashflow'!C28)</f>
        <v>-0.831553374705345</v>
      </c>
    </row>
    <row r="29" ht="20.05" customHeight="1">
      <c r="B29" s="31"/>
      <c r="C29" s="17">
        <v>6296.4</v>
      </c>
      <c r="D29" s="18">
        <v>4275</v>
      </c>
      <c r="E29" s="18">
        <f>566.8-E28</f>
        <v>314.6</v>
      </c>
      <c r="F29" s="18">
        <f>-14.3-F28</f>
        <v>-92</v>
      </c>
      <c r="G29" s="18">
        <f>1808.8-G28</f>
        <v>1298.3</v>
      </c>
      <c r="H29" s="16">
        <f>C29/C28-1</f>
        <v>0.57610953966307</v>
      </c>
      <c r="I29" s="16">
        <f>(E29+G29-F29-C29)/C29</f>
        <v>-0.729226224509243</v>
      </c>
      <c r="J29" s="16">
        <f>('Cashflow'!F26+'Cashflow'!F27+'Cashflow'!F28+'Cashflow'!F29-'Cashflow'!C26-'Cashflow'!C27-'Cashflow'!C28-'Cashflow'!C29)/('Cashflow'!C26+'Cashflow'!C27+'Cashflow'!C28+'Cashflow'!C29)</f>
        <v>-0.7741600609664619</v>
      </c>
    </row>
    <row r="30" ht="20.05" customHeight="1">
      <c r="B30" s="31"/>
      <c r="C30" s="17">
        <f>19381.8-SUM(C28:C29)</f>
        <v>9090.5</v>
      </c>
      <c r="D30" s="14">
        <v>6422.328</v>
      </c>
      <c r="E30" s="18">
        <f>885.1-SUM(E28:E29)</f>
        <v>318.3</v>
      </c>
      <c r="F30" s="18">
        <f>45.2-SUM(F28:F29)</f>
        <v>59.5</v>
      </c>
      <c r="G30" s="18">
        <f>4853.4-SUM(G28:G29)</f>
        <v>3044.6</v>
      </c>
      <c r="H30" s="16">
        <f>C30/C29-1</f>
        <v>0.443761514516231</v>
      </c>
      <c r="I30" s="16">
        <f>(E30+G30-F30-C30)/C30</f>
        <v>-0.636609647434135</v>
      </c>
      <c r="J30" s="16">
        <f>('Cashflow'!F27+'Cashflow'!F28+'Cashflow'!F29+'Cashflow'!F30-'Cashflow'!C27-'Cashflow'!C28-'Cashflow'!C29-'Cashflow'!C30)/('Cashflow'!C27+'Cashflow'!C28+'Cashflow'!C29+'Cashflow'!C30)</f>
        <v>-0.716330092013662</v>
      </c>
    </row>
    <row r="31" ht="20.05" customHeight="1">
      <c r="B31" s="31"/>
      <c r="C31" s="17"/>
      <c r="D31" s="14">
        <f>'Model'!C6</f>
        <v>9272.309999999999</v>
      </c>
      <c r="E31" s="21"/>
      <c r="F31" s="21"/>
      <c r="G31" s="18"/>
      <c r="H31" s="16"/>
      <c r="I31" s="16">
        <f>'Model'!C7</f>
        <v>-0.636609647434135</v>
      </c>
      <c r="J31" s="16">
        <f>('Cashflow'!F28+'Cashflow'!F29+'Cashflow'!F30+'Cashflow'!F31-'Cashflow'!C28-'Cashflow'!C29-'Cashflow'!C30-'Cashflow'!C31)/('Cashflow'!C28+'Cashflow'!C29+'Cashflow'!C30+'Cashflow'!C31)</f>
        <v>-0.641713132538553</v>
      </c>
    </row>
    <row r="32" ht="20.05" customHeight="1">
      <c r="B32" s="32">
        <v>2022</v>
      </c>
      <c r="C32" s="17"/>
      <c r="D32" s="18">
        <f>'Model'!D6</f>
        <v>9086.863799999999</v>
      </c>
      <c r="E32" s="21"/>
      <c r="F32" s="18"/>
      <c r="G32" s="18"/>
      <c r="H32" s="12"/>
      <c r="I32" s="12"/>
      <c r="J32" s="12"/>
    </row>
    <row r="33" ht="20.05" customHeight="1">
      <c r="B33" s="31"/>
      <c r="C33" s="17"/>
      <c r="D33" s="18">
        <f>'Model'!E6</f>
        <v>9177.732437999999</v>
      </c>
      <c r="E33" s="21"/>
      <c r="F33" s="18"/>
      <c r="G33" s="18"/>
      <c r="H33" s="12"/>
      <c r="I33" s="12"/>
      <c r="J33" s="12"/>
    </row>
    <row r="34" ht="20.05" customHeight="1">
      <c r="B34" s="31"/>
      <c r="C34" s="17"/>
      <c r="D34" s="18">
        <f>'Model'!F6</f>
        <v>10095.5056818</v>
      </c>
      <c r="E34" s="21"/>
      <c r="F34" s="18"/>
      <c r="G34" s="18"/>
      <c r="H34" s="12"/>
      <c r="I34" s="12"/>
      <c r="J34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0312" style="33" customWidth="1"/>
    <col min="2" max="2" width="7.79688" style="33" customWidth="1"/>
    <col min="3" max="3" width="10.8906" style="33" customWidth="1"/>
    <col min="4" max="4" width="10.1875" style="33" customWidth="1"/>
    <col min="5" max="7" width="10.8906" style="33" customWidth="1"/>
    <col min="8" max="11" width="10.1875" style="33" customWidth="1"/>
    <col min="12" max="16384" width="16.3516" style="33" customWidth="1"/>
  </cols>
  <sheetData>
    <row r="1" ht="19.4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48</v>
      </c>
      <c r="D3" t="s" s="4">
        <v>49</v>
      </c>
      <c r="E3" t="s" s="4">
        <v>50</v>
      </c>
      <c r="F3" t="s" s="4">
        <v>51</v>
      </c>
      <c r="G3" t="s" s="4">
        <v>52</v>
      </c>
      <c r="H3" t="s" s="4">
        <v>11</v>
      </c>
      <c r="I3" t="s" s="4">
        <v>53</v>
      </c>
      <c r="J3" t="s" s="4">
        <v>3</v>
      </c>
      <c r="K3" t="s" s="4">
        <v>31</v>
      </c>
    </row>
    <row r="4" ht="20.25" customHeight="1">
      <c r="B4" s="26">
        <v>2015</v>
      </c>
      <c r="C4" s="27">
        <v>2994</v>
      </c>
      <c r="D4" s="29"/>
      <c r="E4" s="29"/>
      <c r="F4" s="29">
        <v>430</v>
      </c>
      <c r="G4" s="29">
        <v>-327</v>
      </c>
      <c r="H4" s="29">
        <v>62</v>
      </c>
      <c r="I4" s="29">
        <f>F4+G4+D4</f>
        <v>103</v>
      </c>
      <c r="J4" s="29"/>
      <c r="K4" s="29">
        <f>-(H4-D4)</f>
        <v>-62</v>
      </c>
    </row>
    <row r="5" ht="20.05" customHeight="1">
      <c r="B5" s="31"/>
      <c r="C5" s="17">
        <v>3302</v>
      </c>
      <c r="D5" s="18"/>
      <c r="E5" s="18"/>
      <c r="F5" s="18">
        <v>834</v>
      </c>
      <c r="G5" s="18">
        <v>-207</v>
      </c>
      <c r="H5" s="18">
        <v>-999</v>
      </c>
      <c r="I5" s="18">
        <f>F5+G5+D5</f>
        <v>627</v>
      </c>
      <c r="J5" s="18"/>
      <c r="K5" s="18">
        <f>-(H5-D5)+K4</f>
        <v>937</v>
      </c>
    </row>
    <row r="6" ht="20.05" customHeight="1">
      <c r="B6" s="31"/>
      <c r="C6" s="17">
        <v>3596</v>
      </c>
      <c r="D6" s="18"/>
      <c r="E6" s="18"/>
      <c r="F6" s="18">
        <v>880</v>
      </c>
      <c r="G6" s="18">
        <v>-430</v>
      </c>
      <c r="H6" s="18">
        <v>-184</v>
      </c>
      <c r="I6" s="18">
        <f>F6+G6+D6</f>
        <v>450</v>
      </c>
      <c r="J6" s="18"/>
      <c r="K6" s="18">
        <f>-(H6-D6)+K5</f>
        <v>1121</v>
      </c>
    </row>
    <row r="7" ht="20.05" customHeight="1">
      <c r="B7" s="31"/>
      <c r="C7" s="17">
        <v>3707</v>
      </c>
      <c r="D7" s="18"/>
      <c r="E7" s="18"/>
      <c r="F7" s="18">
        <v>-246</v>
      </c>
      <c r="G7" s="18">
        <v>-149</v>
      </c>
      <c r="H7" s="18">
        <v>-674</v>
      </c>
      <c r="I7" s="18">
        <f>F7+G7+D7</f>
        <v>-395</v>
      </c>
      <c r="J7" s="18"/>
      <c r="K7" s="18">
        <f>-(H7-D7)+K6</f>
        <v>1795</v>
      </c>
    </row>
    <row r="8" ht="20.05" customHeight="1">
      <c r="B8" s="32">
        <v>2016</v>
      </c>
      <c r="C8" s="17">
        <v>2790</v>
      </c>
      <c r="D8" s="18"/>
      <c r="E8" s="18"/>
      <c r="F8" s="18">
        <v>1</v>
      </c>
      <c r="G8" s="18">
        <v>-120</v>
      </c>
      <c r="H8" s="18">
        <v>-159</v>
      </c>
      <c r="I8" s="18">
        <f>F8+G8+D8</f>
        <v>-119</v>
      </c>
      <c r="J8" s="18">
        <f>AVERAGE(I5:I8)</f>
        <v>140.75</v>
      </c>
      <c r="K8" s="18">
        <f>-(H8-D8)+K7</f>
        <v>1954</v>
      </c>
    </row>
    <row r="9" ht="20.05" customHeight="1">
      <c r="B9" s="31"/>
      <c r="C9" s="17">
        <v>3576</v>
      </c>
      <c r="D9" s="18"/>
      <c r="E9" s="18"/>
      <c r="F9" s="18">
        <v>959</v>
      </c>
      <c r="G9" s="18">
        <v>-503</v>
      </c>
      <c r="H9" s="18">
        <v>-733</v>
      </c>
      <c r="I9" s="18">
        <f>F9+G9+D9</f>
        <v>456</v>
      </c>
      <c r="J9" s="18">
        <f>AVERAGE(I6:I9)</f>
        <v>98</v>
      </c>
      <c r="K9" s="18">
        <f>-(H9-D9)+K8</f>
        <v>2687</v>
      </c>
    </row>
    <row r="10" ht="20.05" customHeight="1">
      <c r="B10" s="31"/>
      <c r="C10" s="17">
        <v>2662</v>
      </c>
      <c r="D10" s="18"/>
      <c r="E10" s="18"/>
      <c r="F10" s="18">
        <v>116</v>
      </c>
      <c r="G10" s="18">
        <v>-46</v>
      </c>
      <c r="H10" s="18">
        <v>137</v>
      </c>
      <c r="I10" s="18">
        <f>F10+G10+D10</f>
        <v>70</v>
      </c>
      <c r="J10" s="18">
        <f>AVERAGE(I7:I10)</f>
        <v>3</v>
      </c>
      <c r="K10" s="18">
        <f>-(H10-D10)+K9</f>
        <v>2550</v>
      </c>
    </row>
    <row r="11" ht="20.05" customHeight="1">
      <c r="B11" s="31"/>
      <c r="C11" s="17">
        <v>4341</v>
      </c>
      <c r="D11" s="18"/>
      <c r="E11" s="18"/>
      <c r="F11" s="18">
        <v>852</v>
      </c>
      <c r="G11" s="18">
        <v>354</v>
      </c>
      <c r="H11" s="18">
        <v>-256</v>
      </c>
      <c r="I11" s="18">
        <f>F11+G11+D11</f>
        <v>1206</v>
      </c>
      <c r="J11" s="18">
        <f>AVERAGE(I8:I11)</f>
        <v>403.25</v>
      </c>
      <c r="K11" s="18">
        <f>-(H11-D11)+K10</f>
        <v>2806</v>
      </c>
    </row>
    <row r="12" ht="20.05" customHeight="1">
      <c r="B12" s="32">
        <v>2017</v>
      </c>
      <c r="C12" s="17">
        <v>3660</v>
      </c>
      <c r="D12" s="18"/>
      <c r="E12" s="18">
        <v>-169.25</v>
      </c>
      <c r="F12" s="18">
        <v>373</v>
      </c>
      <c r="G12" s="18">
        <v>78</v>
      </c>
      <c r="H12" s="18">
        <v>-121</v>
      </c>
      <c r="I12" s="18">
        <f>F12+E12+D12</f>
        <v>203.75</v>
      </c>
      <c r="J12" s="18">
        <f>AVERAGE(I9:I12)</f>
        <v>483.9375</v>
      </c>
      <c r="K12" s="18">
        <f>-(H12-D12)+K11</f>
        <v>2927</v>
      </c>
    </row>
    <row r="13" ht="20.05" customHeight="1">
      <c r="B13" s="31"/>
      <c r="C13" s="17">
        <v>3665</v>
      </c>
      <c r="D13" s="18"/>
      <c r="E13" s="18">
        <v>-169.25</v>
      </c>
      <c r="F13" s="18">
        <v>1166</v>
      </c>
      <c r="G13" s="18">
        <v>-679</v>
      </c>
      <c r="H13" s="18">
        <v>-1672</v>
      </c>
      <c r="I13" s="18">
        <f>F13+E13+D13</f>
        <v>996.75</v>
      </c>
      <c r="J13" s="18">
        <f>AVERAGE(I10:I13)</f>
        <v>619.125</v>
      </c>
      <c r="K13" s="18">
        <f>-(H13-D13)+K12</f>
        <v>4599</v>
      </c>
    </row>
    <row r="14" ht="20.05" customHeight="1">
      <c r="B14" s="31"/>
      <c r="C14" s="17">
        <v>3873</v>
      </c>
      <c r="D14" s="18"/>
      <c r="E14" s="18">
        <v>-169.25</v>
      </c>
      <c r="F14" s="18">
        <v>849</v>
      </c>
      <c r="G14" s="18">
        <v>-431</v>
      </c>
      <c r="H14" s="18">
        <v>-116</v>
      </c>
      <c r="I14" s="18">
        <f>F14+E14+D14</f>
        <v>679.75</v>
      </c>
      <c r="J14" s="18">
        <f>AVERAGE(I11:I14)</f>
        <v>771.5625</v>
      </c>
      <c r="K14" s="18">
        <f>-(H14-D14)+K13</f>
        <v>4715</v>
      </c>
    </row>
    <row r="15" ht="20.05" customHeight="1">
      <c r="B15" s="31"/>
      <c r="C15" s="17">
        <v>5214</v>
      </c>
      <c r="D15" s="18"/>
      <c r="E15" s="18">
        <v>-169.25</v>
      </c>
      <c r="F15" s="18">
        <v>27</v>
      </c>
      <c r="G15" s="18">
        <v>496</v>
      </c>
      <c r="H15" s="18">
        <v>-98</v>
      </c>
      <c r="I15" s="18">
        <f>F15+E15+D15</f>
        <v>-142.25</v>
      </c>
      <c r="J15" s="18">
        <f>AVERAGE(I12:I15)</f>
        <v>434.5</v>
      </c>
      <c r="K15" s="18">
        <f>-(H15-D15)+K14</f>
        <v>4813</v>
      </c>
    </row>
    <row r="16" ht="20.05" customHeight="1">
      <c r="B16" s="32">
        <v>2018</v>
      </c>
      <c r="C16" s="17">
        <v>7186</v>
      </c>
      <c r="D16" s="18">
        <v>0</v>
      </c>
      <c r="E16" s="18">
        <v>-197</v>
      </c>
      <c r="F16" s="18">
        <v>4410</v>
      </c>
      <c r="G16" s="18">
        <v>-40</v>
      </c>
      <c r="H16" s="18">
        <v>-16</v>
      </c>
      <c r="I16" s="18">
        <f>F16+E16+D16</f>
        <v>4213</v>
      </c>
      <c r="J16" s="18">
        <f>AVERAGE(I13:I16)</f>
        <v>1436.8125</v>
      </c>
      <c r="K16" s="18">
        <f>-(H16-D16)+K15</f>
        <v>4829</v>
      </c>
    </row>
    <row r="17" ht="20.05" customHeight="1">
      <c r="B17" s="31"/>
      <c r="C17" s="17">
        <v>4329</v>
      </c>
      <c r="D17" s="18">
        <v>-85</v>
      </c>
      <c r="E17" s="18">
        <v>-197</v>
      </c>
      <c r="F17" s="18">
        <v>319</v>
      </c>
      <c r="G17" s="18">
        <v>-151</v>
      </c>
      <c r="H17" s="18">
        <v>-3656</v>
      </c>
      <c r="I17" s="18">
        <f>F17+E17+D17</f>
        <v>37</v>
      </c>
      <c r="J17" s="18">
        <f>AVERAGE(I14:I17)</f>
        <v>1196.875</v>
      </c>
      <c r="K17" s="18">
        <f>-(H17-D17)+K16</f>
        <v>8400</v>
      </c>
    </row>
    <row r="18" ht="20.05" customHeight="1">
      <c r="B18" s="31"/>
      <c r="C18" s="17">
        <v>6235</v>
      </c>
      <c r="D18" s="18">
        <v>20</v>
      </c>
      <c r="E18" s="18">
        <v>-197</v>
      </c>
      <c r="F18" s="18">
        <v>2015</v>
      </c>
      <c r="G18" s="18">
        <v>-667</v>
      </c>
      <c r="H18" s="18">
        <v>280</v>
      </c>
      <c r="I18" s="18">
        <f>F18+E18+D18</f>
        <v>1838</v>
      </c>
      <c r="J18" s="18">
        <f>AVERAGE(I15:I18)</f>
        <v>1486.4375</v>
      </c>
      <c r="K18" s="18">
        <f>-(H18-D18)+K17</f>
        <v>8140</v>
      </c>
    </row>
    <row r="19" ht="20.05" customHeight="1">
      <c r="B19" s="31"/>
      <c r="C19" s="17">
        <v>5979</v>
      </c>
      <c r="D19" s="18">
        <v>-115</v>
      </c>
      <c r="E19" s="18">
        <v>-197</v>
      </c>
      <c r="F19" s="18">
        <v>1124</v>
      </c>
      <c r="G19" s="18">
        <v>-719</v>
      </c>
      <c r="H19" s="18">
        <v>-193</v>
      </c>
      <c r="I19" s="18">
        <f>F19+E19+D19</f>
        <v>812</v>
      </c>
      <c r="J19" s="18">
        <f>AVERAGE(I16:I19)</f>
        <v>1725</v>
      </c>
      <c r="K19" s="18">
        <f>-(H19-D19)+K18</f>
        <v>8218</v>
      </c>
    </row>
    <row r="20" ht="20.05" customHeight="1">
      <c r="B20" s="32">
        <v>2019</v>
      </c>
      <c r="C20" s="17">
        <v>5419</v>
      </c>
      <c r="D20" s="18">
        <v>-25</v>
      </c>
      <c r="E20" s="18">
        <v>-307.75</v>
      </c>
      <c r="F20" s="18">
        <v>1118</v>
      </c>
      <c r="G20" s="18">
        <v>-1099</v>
      </c>
      <c r="H20" s="18">
        <v>-65</v>
      </c>
      <c r="I20" s="18">
        <f>F20+E20+D20</f>
        <v>785.25</v>
      </c>
      <c r="J20" s="18">
        <f>AVERAGE(I17:I20)</f>
        <v>868.0625</v>
      </c>
      <c r="K20" s="18">
        <f>-(H20-D20)+K19</f>
        <v>8258</v>
      </c>
    </row>
    <row r="21" ht="20.05" customHeight="1">
      <c r="B21" s="31"/>
      <c r="C21" s="17">
        <f>10612-C20</f>
        <v>5193</v>
      </c>
      <c r="D21" s="18">
        <v>-56</v>
      </c>
      <c r="E21" s="18">
        <v>-307.75</v>
      </c>
      <c r="F21" s="18">
        <v>1038</v>
      </c>
      <c r="G21" s="18">
        <v>49</v>
      </c>
      <c r="H21" s="18">
        <v>-2040</v>
      </c>
      <c r="I21" s="18">
        <f>F21+E21+D21</f>
        <v>674.25</v>
      </c>
      <c r="J21" s="18">
        <f>AVERAGE(I18:I21)</f>
        <v>1027.375</v>
      </c>
      <c r="K21" s="18">
        <f>-(H21-D21)+K20</f>
        <v>10242</v>
      </c>
    </row>
    <row r="22" ht="20.05" customHeight="1">
      <c r="B22" s="31"/>
      <c r="C22" s="17">
        <f>18290-SUM(C20:C21)</f>
        <v>7678</v>
      </c>
      <c r="D22" s="18">
        <v>-35</v>
      </c>
      <c r="E22" s="18">
        <v>-307.75</v>
      </c>
      <c r="F22" s="18">
        <v>1765</v>
      </c>
      <c r="G22" s="18">
        <v>-2759</v>
      </c>
      <c r="H22" s="18">
        <v>-81</v>
      </c>
      <c r="I22" s="18">
        <f>F22+E22+D22</f>
        <v>1422.25</v>
      </c>
      <c r="J22" s="18">
        <f>AVERAGE(I19:I22)</f>
        <v>923.4375</v>
      </c>
      <c r="K22" s="18">
        <f>-(H22-D22)+K21</f>
        <v>10288</v>
      </c>
    </row>
    <row r="23" ht="20.05" customHeight="1">
      <c r="B23" s="31"/>
      <c r="C23" s="17">
        <f>21748-SUM(C20:C22)</f>
        <v>3458</v>
      </c>
      <c r="D23" s="18">
        <v>-77</v>
      </c>
      <c r="E23" s="18">
        <v>-307.75</v>
      </c>
      <c r="F23" s="18">
        <v>375</v>
      </c>
      <c r="G23" s="18">
        <v>24</v>
      </c>
      <c r="H23" s="18">
        <v>153</v>
      </c>
      <c r="I23" s="18">
        <f>F23+E23+D23</f>
        <v>-9.75</v>
      </c>
      <c r="J23" s="18">
        <f>AVERAGE(I20:I23)</f>
        <v>718</v>
      </c>
      <c r="K23" s="18">
        <f>-(H23-D23)+K22</f>
        <v>10058</v>
      </c>
    </row>
    <row r="24" ht="20.05" customHeight="1">
      <c r="B24" s="32">
        <v>2020</v>
      </c>
      <c r="C24" s="17">
        <v>5113</v>
      </c>
      <c r="D24" s="18">
        <v>-41</v>
      </c>
      <c r="E24" s="18">
        <v>-177</v>
      </c>
      <c r="F24" s="18">
        <v>1188</v>
      </c>
      <c r="G24" s="18">
        <v>1560</v>
      </c>
      <c r="H24" s="18">
        <v>-59</v>
      </c>
      <c r="I24" s="18">
        <f>F24+E24+D24</f>
        <v>970</v>
      </c>
      <c r="J24" s="18">
        <f>AVERAGE(I21:I24)</f>
        <v>764.1875</v>
      </c>
      <c r="K24" s="18">
        <f>-(H24-D24)+K23</f>
        <v>10076</v>
      </c>
    </row>
    <row r="25" ht="20.05" customHeight="1">
      <c r="B25" s="31"/>
      <c r="C25" s="17">
        <f>9829-C24</f>
        <v>4716</v>
      </c>
      <c r="D25" s="18">
        <v>-127</v>
      </c>
      <c r="E25" s="18">
        <v>-177</v>
      </c>
      <c r="F25" s="18">
        <f>2234-F24</f>
        <v>1046</v>
      </c>
      <c r="G25" s="18">
        <f>1847-G24</f>
        <v>287</v>
      </c>
      <c r="H25" s="18">
        <f>-206-H24</f>
        <v>-147</v>
      </c>
      <c r="I25" s="18">
        <f>F25+E25+D25</f>
        <v>742</v>
      </c>
      <c r="J25" s="18">
        <f>AVERAGE(I22:I25)</f>
        <v>781.125</v>
      </c>
      <c r="K25" s="18">
        <f>-(H25-D25)+K24</f>
        <v>10096</v>
      </c>
    </row>
    <row r="26" ht="20.05" customHeight="1">
      <c r="B26" s="31"/>
      <c r="C26" s="17">
        <f>13741-SUM(C24:C25)</f>
        <v>3912</v>
      </c>
      <c r="D26" s="18">
        <v>58</v>
      </c>
      <c r="E26" s="18">
        <v>-177</v>
      </c>
      <c r="F26" s="18">
        <f>3577-SUM(F24:F25)</f>
        <v>1343</v>
      </c>
      <c r="G26" s="18">
        <f>842-SUM(G24:G25)</f>
        <v>-1005</v>
      </c>
      <c r="H26" s="18">
        <f>-3822-SUM(H24:H25)</f>
        <v>-3616</v>
      </c>
      <c r="I26" s="18">
        <f>F26+E26+D26</f>
        <v>1224</v>
      </c>
      <c r="J26" s="18">
        <f>AVERAGE(I23:I26)</f>
        <v>731.5625</v>
      </c>
      <c r="K26" s="18">
        <f>-(H26-D26)+K25</f>
        <v>13770</v>
      </c>
    </row>
    <row r="27" ht="20.05" customHeight="1">
      <c r="B27" s="31"/>
      <c r="C27" s="17">
        <f>18027.4-SUM(C24:C26)</f>
        <v>4286.4</v>
      </c>
      <c r="D27" s="18">
        <f>-360-SUM(D24:D26)</f>
        <v>-250</v>
      </c>
      <c r="E27" s="18">
        <v>-177</v>
      </c>
      <c r="F27" s="18">
        <f>3513.6-SUM(F24:F26)</f>
        <v>-63.4</v>
      </c>
      <c r="G27" s="18">
        <f>113.6-SUM(G24:G26)</f>
        <v>-728.4</v>
      </c>
      <c r="H27" s="18">
        <f>-4083.2-SUM(H24:H26)</f>
        <v>-261.2</v>
      </c>
      <c r="I27" s="18">
        <f>F27+E27+D27</f>
        <v>-490.4</v>
      </c>
      <c r="J27" s="18">
        <f>AVERAGE(I24:I27)</f>
        <v>611.4</v>
      </c>
      <c r="K27" s="18">
        <f>-(H27-D27)+K26</f>
        <v>13781.2</v>
      </c>
    </row>
    <row r="28" ht="20.05" customHeight="1">
      <c r="B28" s="32">
        <v>2021</v>
      </c>
      <c r="C28" s="17">
        <v>3715.2</v>
      </c>
      <c r="D28" s="18">
        <v>-122.2</v>
      </c>
      <c r="E28" s="18">
        <v>-284</v>
      </c>
      <c r="F28" s="18">
        <v>475.6</v>
      </c>
      <c r="G28" s="18">
        <v>-167.6</v>
      </c>
      <c r="H28" s="18">
        <f>-226.5</f>
        <v>-226.5</v>
      </c>
      <c r="I28" s="18">
        <f>F28+E28+D28</f>
        <v>69.40000000000001</v>
      </c>
      <c r="J28" s="18">
        <f>AVERAGE(I25:I28)</f>
        <v>386.25</v>
      </c>
      <c r="K28" s="18">
        <f>-(H28-D28)+K27</f>
        <v>13885.5</v>
      </c>
    </row>
    <row r="29" ht="20.05" customHeight="1">
      <c r="B29" s="31"/>
      <c r="C29" s="17">
        <f>8466.5-C28</f>
        <v>4751.3</v>
      </c>
      <c r="D29" s="18">
        <f>-252.3-D28</f>
        <v>-130.1</v>
      </c>
      <c r="E29" s="18">
        <v>-284</v>
      </c>
      <c r="F29" s="18">
        <f>2484-F28</f>
        <v>2008.4</v>
      </c>
      <c r="G29" s="18">
        <f>-3154.5-G28</f>
        <v>-2986.9</v>
      </c>
      <c r="H29" s="18">
        <f>-1212.1-H28</f>
        <v>-985.6</v>
      </c>
      <c r="I29" s="18">
        <f>F29+E29+D29</f>
        <v>1594.3</v>
      </c>
      <c r="J29" s="18">
        <f>AVERAGE(I26:I29)</f>
        <v>599.325</v>
      </c>
      <c r="K29" s="18">
        <f>-(H29-D29)+K28</f>
        <v>14741</v>
      </c>
    </row>
    <row r="30" ht="20.05" customHeight="1">
      <c r="B30" s="31"/>
      <c r="C30" s="17">
        <f>17145.2-SUM(C28:C29)</f>
        <v>8678.700000000001</v>
      </c>
      <c r="D30" s="18">
        <f>-323.2-SUM(D28:D29)</f>
        <v>-70.90000000000001</v>
      </c>
      <c r="E30" s="18">
        <f>-1196.9-SUM(E28:E29)</f>
        <v>-628.9</v>
      </c>
      <c r="F30" s="18">
        <f>6142.9-SUM(F28:F29)</f>
        <v>3658.9</v>
      </c>
      <c r="G30" s="18">
        <f>-5064.6-SUM(G28:G29)</f>
        <v>-1910.1</v>
      </c>
      <c r="H30" s="18">
        <f>-600.4-SUM(H28:H29)</f>
        <v>611.7</v>
      </c>
      <c r="I30" s="18">
        <f>F30+E30+D30</f>
        <v>2959.1</v>
      </c>
      <c r="J30" s="18">
        <f>AVERAGE(I27:I30)</f>
        <v>1033.1</v>
      </c>
      <c r="K30" s="18">
        <f>-(H30-D30)+K29</f>
        <v>14058.4</v>
      </c>
    </row>
    <row r="31" ht="20.05" customHeight="1">
      <c r="B31" s="31"/>
      <c r="C31" s="17"/>
      <c r="D31" s="18"/>
      <c r="E31" s="18"/>
      <c r="F31" s="18"/>
      <c r="G31" s="18"/>
      <c r="H31" s="18"/>
      <c r="I31" s="18"/>
      <c r="J31" s="18">
        <f>SUM('Model'!F9:F11)</f>
        <v>2968.80936904</v>
      </c>
      <c r="K31" s="18">
        <f>'Model'!F34</f>
        <v>19584.905336882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6.26562" style="34" customWidth="1"/>
    <col min="3" max="11" width="9.98438" style="34" customWidth="1"/>
    <col min="12" max="16384" width="16.3516" style="34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54</v>
      </c>
      <c r="D3" t="s" s="4">
        <v>55</v>
      </c>
      <c r="E3" t="s" s="4">
        <v>24</v>
      </c>
      <c r="F3" t="s" s="4">
        <v>25</v>
      </c>
      <c r="G3" t="s" s="4">
        <v>12</v>
      </c>
      <c r="H3" t="s" s="4">
        <v>13</v>
      </c>
      <c r="I3" t="s" s="4">
        <v>56</v>
      </c>
      <c r="J3" t="s" s="4">
        <v>57</v>
      </c>
      <c r="K3" t="s" s="4">
        <v>36</v>
      </c>
    </row>
    <row r="4" ht="20.25" customHeight="1">
      <c r="B4" s="26">
        <v>2015</v>
      </c>
      <c r="C4" s="27">
        <v>4203</v>
      </c>
      <c r="D4" s="29">
        <v>15314</v>
      </c>
      <c r="E4" s="29">
        <f>D4-C4</f>
        <v>11111</v>
      </c>
      <c r="F4" s="29">
        <f>195+1537+88+4+25</f>
        <v>1849</v>
      </c>
      <c r="G4" s="29">
        <v>6992</v>
      </c>
      <c r="H4" s="29">
        <v>8322</v>
      </c>
      <c r="I4" s="29">
        <f>G4+H4-C4-E4</f>
        <v>0</v>
      </c>
      <c r="J4" s="29">
        <f>C4-G4</f>
        <v>-2789</v>
      </c>
      <c r="K4" s="29"/>
    </row>
    <row r="5" ht="20.05" customHeight="1">
      <c r="B5" s="31"/>
      <c r="C5" s="17">
        <v>3833</v>
      </c>
      <c r="D5" s="18">
        <v>15230</v>
      </c>
      <c r="E5" s="18">
        <f>D5-C5</f>
        <v>11397</v>
      </c>
      <c r="F5" s="18">
        <f>211+1580+88+5+27</f>
        <v>1911</v>
      </c>
      <c r="G5" s="18">
        <v>6434</v>
      </c>
      <c r="H5" s="18">
        <v>8796</v>
      </c>
      <c r="I5" s="18">
        <f>G5+H5-C5-E5</f>
        <v>0</v>
      </c>
      <c r="J5" s="18">
        <f>C5-G5</f>
        <v>-2601</v>
      </c>
      <c r="K5" s="18"/>
    </row>
    <row r="6" ht="20.05" customHeight="1">
      <c r="B6" s="31"/>
      <c r="C6" s="17">
        <v>4120</v>
      </c>
      <c r="D6" s="18">
        <v>16159</v>
      </c>
      <c r="E6" s="18">
        <f>D6-C6</f>
        <v>12039</v>
      </c>
      <c r="F6" s="18">
        <f>231+1644+88+10+29</f>
        <v>2002</v>
      </c>
      <c r="G6" s="18">
        <v>6654</v>
      </c>
      <c r="H6" s="18">
        <v>9505</v>
      </c>
      <c r="I6" s="18">
        <f>G6+H6-C6-E6</f>
        <v>0</v>
      </c>
      <c r="J6" s="18">
        <f>C6-G6</f>
        <v>-2534</v>
      </c>
      <c r="K6" s="18"/>
    </row>
    <row r="7" ht="20.05" customHeight="1">
      <c r="B7" s="31"/>
      <c r="C7" s="17">
        <v>3115</v>
      </c>
      <c r="D7" s="18">
        <v>16894</v>
      </c>
      <c r="E7" s="18">
        <f>D7-C7</f>
        <v>13779</v>
      </c>
      <c r="F7" s="18">
        <f>240+1804+101+54+88+13</f>
        <v>2300</v>
      </c>
      <c r="G7" s="18">
        <v>7607</v>
      </c>
      <c r="H7" s="18">
        <v>9287</v>
      </c>
      <c r="I7" s="18">
        <f>G7+H7-C7-E7</f>
        <v>0</v>
      </c>
      <c r="J7" s="18">
        <f>C7-G7</f>
        <v>-4492</v>
      </c>
      <c r="K7" s="18"/>
    </row>
    <row r="8" ht="20.05" customHeight="1">
      <c r="B8" s="32">
        <v>2016</v>
      </c>
      <c r="C8" s="17">
        <v>2976</v>
      </c>
      <c r="D8" s="18">
        <v>16757</v>
      </c>
      <c r="E8" s="18">
        <f>D8-C8</f>
        <v>13781</v>
      </c>
      <c r="F8" s="18">
        <f>247+1879+17+67+101+4</f>
        <v>2315</v>
      </c>
      <c r="G8" s="18">
        <v>7205</v>
      </c>
      <c r="H8" s="18">
        <v>9552</v>
      </c>
      <c r="I8" s="18">
        <f>G8+H8-C8-E8</f>
        <v>0</v>
      </c>
      <c r="J8" s="18">
        <f>C8-G8</f>
        <v>-4229</v>
      </c>
      <c r="K8" s="18"/>
    </row>
    <row r="9" ht="20.05" customHeight="1">
      <c r="B9" s="31"/>
      <c r="C9" s="17">
        <v>2717</v>
      </c>
      <c r="D9" s="18">
        <v>16626</v>
      </c>
      <c r="E9" s="18">
        <f>D9-C9</f>
        <v>13909</v>
      </c>
      <c r="F9" s="18">
        <f>258+1956+17+101+9+74</f>
        <v>2415</v>
      </c>
      <c r="G9" s="18">
        <v>7422</v>
      </c>
      <c r="H9" s="18">
        <v>9204</v>
      </c>
      <c r="I9" s="18">
        <f>G9+H9-C9-E9</f>
        <v>0</v>
      </c>
      <c r="J9" s="18">
        <f>C9-G9</f>
        <v>-4705</v>
      </c>
      <c r="K9" s="18"/>
    </row>
    <row r="10" ht="20.05" customHeight="1">
      <c r="B10" s="31"/>
      <c r="C10" s="17">
        <v>2901</v>
      </c>
      <c r="D10" s="18">
        <v>17251</v>
      </c>
      <c r="E10" s="18">
        <f>D10-C10</f>
        <v>14350</v>
      </c>
      <c r="F10" s="18">
        <f>270+2047+20+101+15+81</f>
        <v>2534</v>
      </c>
      <c r="G10" s="18">
        <v>7662</v>
      </c>
      <c r="H10" s="18">
        <v>9589</v>
      </c>
      <c r="I10" s="18">
        <f>G10+H10-C10-E10</f>
        <v>0</v>
      </c>
      <c r="J10" s="18">
        <f>C10-G10</f>
        <v>-4761</v>
      </c>
      <c r="K10" s="18"/>
    </row>
    <row r="11" ht="20.05" customHeight="1">
      <c r="B11" s="31"/>
      <c r="C11" s="17">
        <v>3675</v>
      </c>
      <c r="D11" s="18">
        <v>18577</v>
      </c>
      <c r="E11" s="18">
        <f>D11-C11</f>
        <v>14902</v>
      </c>
      <c r="F11" s="18">
        <f>303+2130+120+83</f>
        <v>2636</v>
      </c>
      <c r="G11" s="18">
        <v>8025</v>
      </c>
      <c r="H11" s="18">
        <v>10552</v>
      </c>
      <c r="I11" s="18">
        <f>G11+H11-C11-E11</f>
        <v>0</v>
      </c>
      <c r="J11" s="18">
        <f>C11-G11</f>
        <v>-4350</v>
      </c>
      <c r="K11" s="18"/>
    </row>
    <row r="12" ht="20.05" customHeight="1">
      <c r="B12" s="32">
        <v>2017</v>
      </c>
      <c r="C12" s="17">
        <v>4006</v>
      </c>
      <c r="D12" s="18">
        <v>19553</v>
      </c>
      <c r="E12" s="18">
        <f>D12-C12</f>
        <v>15547</v>
      </c>
      <c r="F12" s="18">
        <f>292+2298+(120+4)+72</f>
        <v>2786</v>
      </c>
      <c r="G12" s="18">
        <v>8235</v>
      </c>
      <c r="H12" s="18">
        <v>11318</v>
      </c>
      <c r="I12" s="18">
        <f>G12+H12-C12-E12</f>
        <v>0</v>
      </c>
      <c r="J12" s="18">
        <f>C12-G12</f>
        <v>-4229</v>
      </c>
      <c r="K12" s="18"/>
    </row>
    <row r="13" ht="20.05" customHeight="1">
      <c r="B13" s="31"/>
      <c r="C13" s="17">
        <v>2820</v>
      </c>
      <c r="D13" s="18">
        <v>18670</v>
      </c>
      <c r="E13" s="18">
        <f>D13-C13</f>
        <v>15850</v>
      </c>
      <c r="F13" s="18">
        <f>317+2385+(120+8)+132</f>
        <v>2962</v>
      </c>
      <c r="G13" s="18">
        <v>6689</v>
      </c>
      <c r="H13" s="18">
        <v>11981</v>
      </c>
      <c r="I13" s="18">
        <f>G13+H13-C13-E13</f>
        <v>0</v>
      </c>
      <c r="J13" s="18">
        <f>C13-G13</f>
        <v>-3869</v>
      </c>
      <c r="K13" s="18"/>
    </row>
    <row r="14" ht="20.05" customHeight="1">
      <c r="B14" s="31"/>
      <c r="C14" s="17">
        <v>3124</v>
      </c>
      <c r="D14" s="18">
        <v>19500</v>
      </c>
      <c r="E14" s="18">
        <f>D14-C14</f>
        <v>16376</v>
      </c>
      <c r="F14" s="18">
        <f>327+2507+(120+14)+136</f>
        <v>3104</v>
      </c>
      <c r="G14" s="18">
        <v>6591</v>
      </c>
      <c r="H14" s="18">
        <v>12909</v>
      </c>
      <c r="I14" s="18">
        <f>G14+H14-C14-E14</f>
        <v>0</v>
      </c>
      <c r="J14" s="18">
        <f>C14-G14</f>
        <v>-3467</v>
      </c>
      <c r="K14" s="18"/>
    </row>
    <row r="15" ht="20.05" customHeight="1">
      <c r="B15" s="31"/>
      <c r="C15" s="17">
        <v>3555</v>
      </c>
      <c r="D15" s="18">
        <v>21987</v>
      </c>
      <c r="E15" s="18">
        <f>D15-C15</f>
        <v>18432</v>
      </c>
      <c r="F15" s="18">
        <f>469+2725+104</f>
        <v>3298</v>
      </c>
      <c r="G15" s="18">
        <v>8187</v>
      </c>
      <c r="H15" s="18">
        <v>13800</v>
      </c>
      <c r="I15" s="18">
        <f>G15+H15-C15-E15</f>
        <v>0</v>
      </c>
      <c r="J15" s="18">
        <f>C15-G15</f>
        <v>-4632</v>
      </c>
      <c r="K15" s="18"/>
    </row>
    <row r="16" ht="20.05" customHeight="1">
      <c r="B16" s="32">
        <v>2018</v>
      </c>
      <c r="C16" s="17">
        <v>7931</v>
      </c>
      <c r="D16" s="18">
        <v>23620</v>
      </c>
      <c r="E16" s="18">
        <f>D16-C16</f>
        <v>15689</v>
      </c>
      <c r="F16" s="18">
        <f>489+2858+145</f>
        <v>3492</v>
      </c>
      <c r="G16" s="18">
        <v>8490</v>
      </c>
      <c r="H16" s="18">
        <v>15130</v>
      </c>
      <c r="I16" s="18">
        <f>G16+H16-C16-E16</f>
        <v>0</v>
      </c>
      <c r="J16" s="18">
        <f>C16-G16</f>
        <v>-559</v>
      </c>
      <c r="K16" s="18"/>
    </row>
    <row r="17" ht="20.05" customHeight="1">
      <c r="B17" s="31"/>
      <c r="C17" s="17">
        <v>4558</v>
      </c>
      <c r="D17" s="18">
        <v>20635</v>
      </c>
      <c r="E17" s="18">
        <f>D17-C17</f>
        <v>16077</v>
      </c>
      <c r="F17" s="18">
        <f>493+3006+150</f>
        <v>3649</v>
      </c>
      <c r="G17" s="18">
        <v>7681</v>
      </c>
      <c r="H17" s="18">
        <v>12954</v>
      </c>
      <c r="I17" s="18">
        <f>G17+H17-C17-E17</f>
        <v>0</v>
      </c>
      <c r="J17" s="18">
        <f>C17-G17</f>
        <v>-3123</v>
      </c>
      <c r="K17" s="18"/>
    </row>
    <row r="18" ht="20.05" customHeight="1">
      <c r="B18" s="31"/>
      <c r="C18" s="17">
        <v>6059</v>
      </c>
      <c r="D18" s="18">
        <v>22470</v>
      </c>
      <c r="E18" s="18">
        <f>D18-C18</f>
        <v>16411</v>
      </c>
      <c r="F18" s="18">
        <f>535+3151+155</f>
        <v>3841</v>
      </c>
      <c r="G18" s="18">
        <v>7548</v>
      </c>
      <c r="H18" s="18">
        <v>14922</v>
      </c>
      <c r="I18" s="18">
        <f>G18+H18-C18-E18</f>
        <v>0</v>
      </c>
      <c r="J18" s="18">
        <f>C18-G18</f>
        <v>-1489</v>
      </c>
      <c r="K18" s="18"/>
    </row>
    <row r="19" ht="20.05" customHeight="1">
      <c r="B19" s="31"/>
      <c r="C19" s="17">
        <v>6301</v>
      </c>
      <c r="D19" s="18">
        <v>24173</v>
      </c>
      <c r="E19" s="18">
        <f>D19-C19</f>
        <v>17872</v>
      </c>
      <c r="F19" s="18">
        <f>533+3266+62</f>
        <v>3861</v>
      </c>
      <c r="G19" s="18">
        <v>7903</v>
      </c>
      <c r="H19" s="18">
        <v>16270</v>
      </c>
      <c r="I19" s="18">
        <f>G19+H19-C19-E19</f>
        <v>0</v>
      </c>
      <c r="J19" s="18">
        <f>C19-G19</f>
        <v>-1602</v>
      </c>
      <c r="K19" s="18"/>
    </row>
    <row r="20" ht="20.05" customHeight="1">
      <c r="B20" s="32">
        <v>2019</v>
      </c>
      <c r="C20" s="17">
        <v>6261</v>
      </c>
      <c r="D20" s="18">
        <v>24827</v>
      </c>
      <c r="E20" s="18">
        <f>D20-C20</f>
        <v>18566</v>
      </c>
      <c r="F20" s="18">
        <f>592+3422+160</f>
        <v>4174</v>
      </c>
      <c r="G20" s="18">
        <v>7269</v>
      </c>
      <c r="H20" s="18">
        <v>17558</v>
      </c>
      <c r="I20" s="18">
        <f>G20+H20-C20-E20</f>
        <v>0</v>
      </c>
      <c r="J20" s="18">
        <f>C20-G20</f>
        <v>-1008</v>
      </c>
      <c r="K20" s="18"/>
    </row>
    <row r="21" ht="20.05" customHeight="1">
      <c r="B21" s="31"/>
      <c r="C21" s="17">
        <v>5287</v>
      </c>
      <c r="D21" s="18">
        <v>23412</v>
      </c>
      <c r="E21" s="18">
        <f>D21-C21</f>
        <v>18125</v>
      </c>
      <c r="F21" s="18">
        <f>565+3582+74</f>
        <v>4221</v>
      </c>
      <c r="G21" s="18">
        <v>7164</v>
      </c>
      <c r="H21" s="18">
        <v>16248</v>
      </c>
      <c r="I21" s="18">
        <f>G21+H21-C21-E21</f>
        <v>0</v>
      </c>
      <c r="J21" s="18">
        <f>C21-G21</f>
        <v>-1877</v>
      </c>
      <c r="K21" s="18"/>
    </row>
    <row r="22" ht="20.05" customHeight="1">
      <c r="B22" s="31"/>
      <c r="C22" s="17">
        <v>4240</v>
      </c>
      <c r="D22" s="18">
        <v>25231</v>
      </c>
      <c r="E22" s="18">
        <f>D22-C22</f>
        <v>20991</v>
      </c>
      <c r="F22" s="18">
        <f>592+3764+79</f>
        <v>4435</v>
      </c>
      <c r="G22" s="18">
        <v>7897</v>
      </c>
      <c r="H22" s="18">
        <v>17334</v>
      </c>
      <c r="I22" s="18">
        <f>G22+H22-C22-E22</f>
        <v>0</v>
      </c>
      <c r="J22" s="18">
        <f>C22-G22</f>
        <v>-3657</v>
      </c>
      <c r="K22" s="18"/>
    </row>
    <row r="23" ht="20.05" customHeight="1">
      <c r="B23" s="31"/>
      <c r="C23" s="17">
        <v>4757</v>
      </c>
      <c r="D23" s="18">
        <v>26098</v>
      </c>
      <c r="E23" s="18">
        <f>D23-C23</f>
        <v>21341</v>
      </c>
      <c r="F23" s="18">
        <f>612+3932+81</f>
        <v>4625</v>
      </c>
      <c r="G23" s="18">
        <v>7675</v>
      </c>
      <c r="H23" s="18">
        <v>18423</v>
      </c>
      <c r="I23" s="18">
        <f>G23+H23-C23-E23</f>
        <v>0</v>
      </c>
      <c r="J23" s="18">
        <f>C23-G23</f>
        <v>-2918</v>
      </c>
      <c r="K23" s="18"/>
    </row>
    <row r="24" ht="20.05" customHeight="1">
      <c r="B24" s="32">
        <v>2020</v>
      </c>
      <c r="C24" s="17">
        <v>7509</v>
      </c>
      <c r="D24" s="18">
        <v>27728</v>
      </c>
      <c r="E24" s="18">
        <f>D24-C24</f>
        <v>20219</v>
      </c>
      <c r="F24" s="18">
        <f>84+4170+652</f>
        <v>4906</v>
      </c>
      <c r="G24" s="18">
        <v>7802</v>
      </c>
      <c r="H24" s="18">
        <v>19926</v>
      </c>
      <c r="I24" s="18">
        <f>G24+H24-C24-E24</f>
        <v>0</v>
      </c>
      <c r="J24" s="18">
        <f>C24-G24</f>
        <v>-293</v>
      </c>
      <c r="K24" s="18"/>
    </row>
    <row r="25" ht="20.05" customHeight="1">
      <c r="B25" s="31"/>
      <c r="C25" s="17">
        <v>8644</v>
      </c>
      <c r="D25" s="18">
        <v>26892</v>
      </c>
      <c r="E25" s="18">
        <f>D25-C25</f>
        <v>18248</v>
      </c>
      <c r="F25" s="18">
        <f>4309+93+81+645</f>
        <v>5128</v>
      </c>
      <c r="G25" s="18">
        <v>10925</v>
      </c>
      <c r="H25" s="18">
        <v>15967</v>
      </c>
      <c r="I25" s="18">
        <f>G25+H25-C25-E25</f>
        <v>0</v>
      </c>
      <c r="J25" s="18">
        <f>C25-G25</f>
        <v>-2281</v>
      </c>
      <c r="K25" s="18"/>
    </row>
    <row r="26" ht="20.05" customHeight="1">
      <c r="B26" s="31"/>
      <c r="C26" s="17">
        <v>5389</v>
      </c>
      <c r="D26" s="18">
        <v>24506</v>
      </c>
      <c r="E26" s="18">
        <f>D26-C26</f>
        <v>19117</v>
      </c>
      <c r="F26" s="18">
        <f>91+4543+669</f>
        <v>5303</v>
      </c>
      <c r="G26" s="18">
        <v>7926</v>
      </c>
      <c r="H26" s="18">
        <v>16580</v>
      </c>
      <c r="I26" s="18">
        <f>G26+H26-C26-E26</f>
        <v>0</v>
      </c>
      <c r="J26" s="18">
        <f>C26-G26</f>
        <v>-2537</v>
      </c>
      <c r="K26" s="18"/>
    </row>
    <row r="27" ht="20.05" customHeight="1">
      <c r="B27" s="31"/>
      <c r="C27" s="17">
        <v>4341</v>
      </c>
      <c r="D27" s="18">
        <v>24056</v>
      </c>
      <c r="E27" s="18">
        <f>D27-C27</f>
        <v>19715</v>
      </c>
      <c r="F27" s="18">
        <f>93+4908+677</f>
        <v>5678</v>
      </c>
      <c r="G27" s="18">
        <v>7117</v>
      </c>
      <c r="H27" s="18">
        <v>16939</v>
      </c>
      <c r="I27" s="18">
        <f>G27+H27-C27-E27</f>
        <v>0</v>
      </c>
      <c r="J27" s="18">
        <f>C27-G27</f>
        <v>-2776</v>
      </c>
      <c r="K27" s="18"/>
    </row>
    <row r="28" ht="20.05" customHeight="1">
      <c r="B28" s="32">
        <v>2021</v>
      </c>
      <c r="C28" s="17">
        <v>4433</v>
      </c>
      <c r="D28" s="18">
        <v>24526</v>
      </c>
      <c r="E28" s="18">
        <f>D28-C28</f>
        <v>20093</v>
      </c>
      <c r="F28" s="18">
        <f>96+5154+695</f>
        <v>5945</v>
      </c>
      <c r="G28" s="18">
        <v>6960</v>
      </c>
      <c r="H28" s="18">
        <v>17566</v>
      </c>
      <c r="I28" s="18">
        <f>G28+H28-C28-E28</f>
        <v>0</v>
      </c>
      <c r="J28" s="18">
        <f>C28-G28</f>
        <v>-2527</v>
      </c>
      <c r="K28" s="18"/>
    </row>
    <row r="29" ht="20.05" customHeight="1">
      <c r="B29" s="31"/>
      <c r="C29" s="17">
        <v>2475</v>
      </c>
      <c r="D29" s="18">
        <v>27044</v>
      </c>
      <c r="E29" s="18">
        <f>D29-C29</f>
        <v>24569</v>
      </c>
      <c r="F29" s="18">
        <f>100+5378+736</f>
        <v>6214</v>
      </c>
      <c r="G29" s="18">
        <v>9536</v>
      </c>
      <c r="H29" s="18">
        <v>17508</v>
      </c>
      <c r="I29" s="18">
        <f>G29+H29-C29-E29</f>
        <v>0</v>
      </c>
      <c r="J29" s="18">
        <f>C29-G29</f>
        <v>-7061</v>
      </c>
      <c r="K29" s="18"/>
    </row>
    <row r="30" ht="20.05" customHeight="1">
      <c r="B30" s="31"/>
      <c r="C30" s="17">
        <v>4819</v>
      </c>
      <c r="D30" s="18">
        <v>32191</v>
      </c>
      <c r="E30" s="18">
        <f>D30-C30</f>
        <v>27372</v>
      </c>
      <c r="F30" s="18">
        <f>769+5617+105</f>
        <v>6491</v>
      </c>
      <c r="G30" s="18">
        <v>11167</v>
      </c>
      <c r="H30" s="18">
        <v>21024</v>
      </c>
      <c r="I30" s="18">
        <f>G30+H30-C30-E30</f>
        <v>0</v>
      </c>
      <c r="J30" s="18">
        <f>C30-G30</f>
        <v>-6348</v>
      </c>
      <c r="K30" s="18">
        <f>J30</f>
        <v>-6348</v>
      </c>
    </row>
    <row r="31" ht="20.05" customHeight="1">
      <c r="B31" s="31"/>
      <c r="C31" s="17"/>
      <c r="D31" s="18"/>
      <c r="E31" s="18"/>
      <c r="F31" s="18"/>
      <c r="G31" s="18"/>
      <c r="H31" s="18"/>
      <c r="I31" s="18"/>
      <c r="J31" s="18"/>
      <c r="K31" s="18">
        <f>'Model'!F32</f>
        <v>1072.958804808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5" customWidth="1"/>
    <col min="2" max="2" width="5.26562" style="35" customWidth="1"/>
    <col min="3" max="4" width="8.85156" style="35" customWidth="1"/>
    <col min="5" max="16384" width="16.3516" style="35" customWidth="1"/>
  </cols>
  <sheetData>
    <row r="1" ht="40" customHeight="1"/>
    <row r="2" ht="27.65" customHeight="1">
      <c r="B2" t="s" s="2">
        <v>58</v>
      </c>
      <c r="C2" s="2"/>
      <c r="D2" s="2"/>
    </row>
    <row r="3" ht="20.25" customHeight="1">
      <c r="B3" s="5"/>
      <c r="C3" t="s" s="36">
        <v>59</v>
      </c>
      <c r="D3" t="s" s="36">
        <v>39</v>
      </c>
    </row>
    <row r="4" ht="20.25" customHeight="1">
      <c r="B4" s="26">
        <v>2014</v>
      </c>
      <c r="C4" s="27">
        <v>1850</v>
      </c>
      <c r="D4" s="8"/>
    </row>
    <row r="5" ht="20.05" customHeight="1">
      <c r="B5" s="31"/>
      <c r="C5" s="17">
        <v>1915</v>
      </c>
      <c r="D5" s="22"/>
    </row>
    <row r="6" ht="20.05" customHeight="1">
      <c r="B6" s="31"/>
      <c r="C6" s="17">
        <v>1865</v>
      </c>
      <c r="D6" s="22"/>
    </row>
    <row r="7" ht="20.05" customHeight="1">
      <c r="B7" s="31"/>
      <c r="C7" s="17">
        <v>1975</v>
      </c>
      <c r="D7" s="22"/>
    </row>
    <row r="8" ht="20.05" customHeight="1">
      <c r="B8" s="31"/>
      <c r="C8" s="17">
        <v>2140</v>
      </c>
      <c r="D8" s="22"/>
    </row>
    <row r="9" ht="20.05" customHeight="1">
      <c r="B9" s="31"/>
      <c r="C9" s="17">
        <v>2145</v>
      </c>
      <c r="D9" s="22"/>
    </row>
    <row r="10" ht="20.05" customHeight="1">
      <c r="B10" s="31"/>
      <c r="C10" s="17">
        <v>2330</v>
      </c>
      <c r="D10" s="22"/>
    </row>
    <row r="11" ht="20.05" customHeight="1">
      <c r="B11" s="31"/>
      <c r="C11" s="17">
        <v>2670</v>
      </c>
      <c r="D11" s="22"/>
    </row>
    <row r="12" ht="20.05" customHeight="1">
      <c r="B12" s="31"/>
      <c r="C12" s="17">
        <v>2640</v>
      </c>
      <c r="D12" s="22"/>
    </row>
    <row r="13" ht="20.05" customHeight="1">
      <c r="B13" s="31"/>
      <c r="C13" s="17">
        <v>2590</v>
      </c>
      <c r="D13" s="22"/>
    </row>
    <row r="14" ht="20.05" customHeight="1">
      <c r="B14" s="31"/>
      <c r="C14" s="17">
        <v>2630</v>
      </c>
      <c r="D14" s="22"/>
    </row>
    <row r="15" ht="20.05" customHeight="1">
      <c r="B15" s="31"/>
      <c r="C15" s="17">
        <v>2500</v>
      </c>
      <c r="D15" s="22"/>
    </row>
    <row r="16" ht="20.05" customHeight="1">
      <c r="B16" s="32">
        <v>2015</v>
      </c>
      <c r="C16" s="17">
        <v>2275</v>
      </c>
      <c r="D16" s="22"/>
    </row>
    <row r="17" ht="20.05" customHeight="1">
      <c r="B17" s="31"/>
      <c r="C17" s="17">
        <v>2135</v>
      </c>
      <c r="D17" s="22"/>
    </row>
    <row r="18" ht="20.05" customHeight="1">
      <c r="B18" s="31"/>
      <c r="C18" s="17">
        <v>2150</v>
      </c>
      <c r="D18" s="22"/>
    </row>
    <row r="19" ht="20.05" customHeight="1">
      <c r="B19" s="31"/>
      <c r="C19" s="17">
        <v>1870</v>
      </c>
      <c r="D19" s="22"/>
    </row>
    <row r="20" ht="20.05" customHeight="1">
      <c r="B20" s="31"/>
      <c r="C20" s="17">
        <v>1965</v>
      </c>
      <c r="D20" s="22"/>
    </row>
    <row r="21" ht="20.05" customHeight="1">
      <c r="B21" s="31"/>
      <c r="C21" s="17">
        <v>1680</v>
      </c>
      <c r="D21" s="22"/>
    </row>
    <row r="22" ht="20.05" customHeight="1">
      <c r="B22" s="31"/>
      <c r="C22" s="17">
        <v>1200</v>
      </c>
      <c r="D22" s="22"/>
    </row>
    <row r="23" ht="20.05" customHeight="1">
      <c r="B23" s="31"/>
      <c r="C23" s="17">
        <v>1170</v>
      </c>
      <c r="D23" s="22"/>
    </row>
    <row r="24" ht="20.05" customHeight="1">
      <c r="B24" s="31"/>
      <c r="C24" s="17">
        <v>1125</v>
      </c>
      <c r="D24" s="22"/>
    </row>
    <row r="25" ht="20.05" customHeight="1">
      <c r="B25" s="31"/>
      <c r="C25" s="17">
        <v>1460</v>
      </c>
      <c r="D25" s="22"/>
    </row>
    <row r="26" ht="20.05" customHeight="1">
      <c r="B26" s="31"/>
      <c r="C26" s="17">
        <v>1120</v>
      </c>
      <c r="D26" s="22"/>
    </row>
    <row r="27" ht="20.05" customHeight="1">
      <c r="B27" s="31"/>
      <c r="C27" s="17">
        <v>905</v>
      </c>
      <c r="D27" s="22"/>
    </row>
    <row r="28" ht="20.05" customHeight="1">
      <c r="B28" s="32">
        <v>2016</v>
      </c>
      <c r="C28" s="17">
        <v>890</v>
      </c>
      <c r="D28" s="22"/>
    </row>
    <row r="29" ht="20.05" customHeight="1">
      <c r="B29" s="31"/>
      <c r="C29" s="17">
        <v>1015</v>
      </c>
      <c r="D29" s="22"/>
    </row>
    <row r="30" ht="20.05" customHeight="1">
      <c r="B30" s="31"/>
      <c r="C30" s="17">
        <v>1255</v>
      </c>
      <c r="D30" s="22"/>
    </row>
    <row r="31" ht="20.05" customHeight="1">
      <c r="B31" s="31"/>
      <c r="C31" s="17">
        <v>1410</v>
      </c>
      <c r="D31" s="22"/>
    </row>
    <row r="32" ht="20.05" customHeight="1">
      <c r="B32" s="31"/>
      <c r="C32" s="17">
        <v>1275</v>
      </c>
      <c r="D32" s="22"/>
    </row>
    <row r="33" ht="20.05" customHeight="1">
      <c r="B33" s="31"/>
      <c r="C33" s="17">
        <v>1540</v>
      </c>
      <c r="D33" s="22"/>
    </row>
    <row r="34" ht="20.05" customHeight="1">
      <c r="B34" s="31"/>
      <c r="C34" s="17">
        <v>1970</v>
      </c>
      <c r="D34" s="22"/>
    </row>
    <row r="35" ht="20.05" customHeight="1">
      <c r="B35" s="31"/>
      <c r="C35" s="17">
        <v>1985</v>
      </c>
      <c r="D35" s="22"/>
    </row>
    <row r="36" ht="20.05" customHeight="1">
      <c r="B36" s="31"/>
      <c r="C36" s="17">
        <v>1925</v>
      </c>
      <c r="D36" s="22"/>
    </row>
    <row r="37" ht="20.05" customHeight="1">
      <c r="B37" s="31"/>
      <c r="C37" s="17">
        <v>2380</v>
      </c>
      <c r="D37" s="22"/>
    </row>
    <row r="38" ht="20.05" customHeight="1">
      <c r="B38" s="31"/>
      <c r="C38" s="17">
        <v>2360</v>
      </c>
      <c r="D38" s="22"/>
    </row>
    <row r="39" ht="20.05" customHeight="1">
      <c r="B39" s="31"/>
      <c r="C39" s="17">
        <v>2500</v>
      </c>
      <c r="D39" s="22"/>
    </row>
    <row r="40" ht="20.05" customHeight="1">
      <c r="B40" s="32">
        <v>2017</v>
      </c>
      <c r="C40" s="17">
        <v>2320</v>
      </c>
      <c r="D40" s="22"/>
    </row>
    <row r="41" ht="20.05" customHeight="1">
      <c r="B41" s="31"/>
      <c r="C41" s="17">
        <v>2235</v>
      </c>
      <c r="D41" s="22"/>
    </row>
    <row r="42" ht="20.05" customHeight="1">
      <c r="B42" s="31"/>
      <c r="C42" s="17">
        <v>2640</v>
      </c>
      <c r="D42" s="22"/>
    </row>
    <row r="43" ht="20.05" customHeight="1">
      <c r="B43" s="31"/>
      <c r="C43" s="17">
        <v>2535</v>
      </c>
      <c r="D43" s="22"/>
    </row>
    <row r="44" ht="20.05" customHeight="1">
      <c r="B44" s="31"/>
      <c r="C44" s="17">
        <v>2180</v>
      </c>
      <c r="D44" s="22"/>
    </row>
    <row r="45" ht="20.05" customHeight="1">
      <c r="B45" s="31"/>
      <c r="C45" s="17">
        <v>2390</v>
      </c>
      <c r="D45" s="22"/>
    </row>
    <row r="46" ht="20.05" customHeight="1">
      <c r="B46" s="31"/>
      <c r="C46" s="17">
        <v>2620</v>
      </c>
      <c r="D46" s="22"/>
    </row>
    <row r="47" ht="20.05" customHeight="1">
      <c r="B47" s="31"/>
      <c r="C47" s="17">
        <v>2475</v>
      </c>
      <c r="D47" s="22"/>
    </row>
    <row r="48" ht="20.05" customHeight="1">
      <c r="B48" s="31"/>
      <c r="C48" s="17">
        <v>2090</v>
      </c>
      <c r="D48" s="22"/>
    </row>
    <row r="49" ht="20.05" customHeight="1">
      <c r="B49" s="31"/>
      <c r="C49" s="17">
        <v>2295</v>
      </c>
      <c r="D49" s="22"/>
    </row>
    <row r="50" ht="20.05" customHeight="1">
      <c r="B50" s="31"/>
      <c r="C50" s="17">
        <v>2250</v>
      </c>
      <c r="D50" s="22"/>
    </row>
    <row r="51" ht="20.05" customHeight="1">
      <c r="B51" s="31"/>
      <c r="C51" s="17">
        <v>2460</v>
      </c>
      <c r="D51" s="22"/>
    </row>
    <row r="52" ht="20.05" customHeight="1">
      <c r="B52" s="32">
        <v>2018</v>
      </c>
      <c r="C52" s="17">
        <v>3400</v>
      </c>
      <c r="D52" s="22"/>
    </row>
    <row r="53" ht="20.05" customHeight="1">
      <c r="B53" s="31"/>
      <c r="C53" s="17">
        <v>3170</v>
      </c>
      <c r="D53" s="22"/>
    </row>
    <row r="54" ht="20.05" customHeight="1">
      <c r="B54" s="31"/>
      <c r="C54" s="17">
        <v>2940</v>
      </c>
      <c r="D54" s="22"/>
    </row>
    <row r="55" ht="20.05" customHeight="1">
      <c r="B55" s="31"/>
      <c r="C55" s="17">
        <v>3240</v>
      </c>
      <c r="D55" s="22"/>
    </row>
    <row r="56" ht="20.05" customHeight="1">
      <c r="B56" s="31"/>
      <c r="C56" s="17">
        <v>3800</v>
      </c>
      <c r="D56" s="22"/>
    </row>
    <row r="57" ht="20.05" customHeight="1">
      <c r="B57" s="31"/>
      <c r="C57" s="17">
        <v>3970</v>
      </c>
      <c r="D57" s="22"/>
    </row>
    <row r="58" ht="20.05" customHeight="1">
      <c r="B58" s="31"/>
      <c r="C58" s="17">
        <v>4480</v>
      </c>
      <c r="D58" s="22"/>
    </row>
    <row r="59" ht="20.05" customHeight="1">
      <c r="B59" s="31"/>
      <c r="C59" s="17">
        <v>4050</v>
      </c>
      <c r="D59" s="22"/>
    </row>
    <row r="60" ht="20.05" customHeight="1">
      <c r="B60" s="31"/>
      <c r="C60" s="17">
        <v>4320</v>
      </c>
      <c r="D60" s="22"/>
    </row>
    <row r="61" ht="20.05" customHeight="1">
      <c r="B61" s="31"/>
      <c r="C61" s="17">
        <v>4250</v>
      </c>
      <c r="D61" s="22"/>
    </row>
    <row r="62" ht="20.05" customHeight="1">
      <c r="B62" s="31"/>
      <c r="C62" s="17">
        <v>4020</v>
      </c>
      <c r="D62" s="22"/>
    </row>
    <row r="63" ht="20.05" customHeight="1">
      <c r="B63" s="31"/>
      <c r="C63" s="17">
        <v>4300</v>
      </c>
      <c r="D63" s="22"/>
    </row>
    <row r="64" ht="20.05" customHeight="1">
      <c r="B64" s="32">
        <v>2019</v>
      </c>
      <c r="C64" s="17">
        <v>4310</v>
      </c>
      <c r="D64" s="22"/>
    </row>
    <row r="65" ht="20.05" customHeight="1">
      <c r="B65" s="31"/>
      <c r="C65" s="17">
        <v>3980</v>
      </c>
      <c r="D65" s="22"/>
    </row>
    <row r="66" ht="20.05" customHeight="1">
      <c r="B66" s="31"/>
      <c r="C66" s="17">
        <v>4200</v>
      </c>
      <c r="D66" s="22"/>
    </row>
    <row r="67" ht="20.05" customHeight="1">
      <c r="B67" s="31"/>
      <c r="C67" s="17">
        <v>3960</v>
      </c>
      <c r="D67" s="22"/>
    </row>
    <row r="68" ht="20.05" customHeight="1">
      <c r="B68" s="31"/>
      <c r="C68" s="17">
        <v>3060</v>
      </c>
      <c r="D68" s="22"/>
    </row>
    <row r="69" ht="20.05" customHeight="1">
      <c r="B69" s="31"/>
      <c r="C69" s="17">
        <v>2960</v>
      </c>
      <c r="D69" s="22"/>
    </row>
    <row r="70" ht="20.05" customHeight="1">
      <c r="B70" s="31"/>
      <c r="C70" s="17">
        <v>2740</v>
      </c>
      <c r="D70" s="22"/>
    </row>
    <row r="71" ht="20.05" customHeight="1">
      <c r="B71" s="31"/>
      <c r="C71" s="17">
        <v>2470</v>
      </c>
      <c r="D71" s="22"/>
    </row>
    <row r="72" ht="20.05" customHeight="1">
      <c r="B72" s="31"/>
      <c r="C72" s="17">
        <v>2260</v>
      </c>
      <c r="D72" s="22"/>
    </row>
    <row r="73" ht="20.05" customHeight="1">
      <c r="B73" s="31"/>
      <c r="C73" s="17">
        <v>2250</v>
      </c>
      <c r="D73" s="22"/>
    </row>
    <row r="74" ht="20.05" customHeight="1">
      <c r="B74" s="31"/>
      <c r="C74" s="17">
        <v>2420</v>
      </c>
      <c r="D74" s="22"/>
    </row>
    <row r="75" ht="20.05" customHeight="1">
      <c r="B75" s="31"/>
      <c r="C75" s="17">
        <v>2660</v>
      </c>
      <c r="D75" s="22"/>
    </row>
    <row r="76" ht="20.05" customHeight="1">
      <c r="B76" s="32">
        <v>2020</v>
      </c>
      <c r="C76" s="17">
        <v>2210</v>
      </c>
      <c r="D76" s="22"/>
    </row>
    <row r="77" ht="20.05" customHeight="1">
      <c r="B77" s="31"/>
      <c r="C77" s="17">
        <v>2240</v>
      </c>
      <c r="D77" s="22"/>
    </row>
    <row r="78" ht="20.05" customHeight="1">
      <c r="B78" s="31"/>
      <c r="C78" s="17">
        <v>2180</v>
      </c>
      <c r="D78" s="22"/>
    </row>
    <row r="79" ht="20.05" customHeight="1">
      <c r="B79" s="31"/>
      <c r="C79" s="17">
        <v>1875</v>
      </c>
      <c r="D79" s="18">
        <v>6443.052228078560</v>
      </c>
    </row>
    <row r="80" ht="20.05" customHeight="1">
      <c r="B80" s="31"/>
      <c r="C80" s="17">
        <v>1945</v>
      </c>
      <c r="D80" s="18">
        <v>6443.052228078560</v>
      </c>
    </row>
    <row r="81" ht="20.05" customHeight="1">
      <c r="B81" s="31"/>
      <c r="C81" s="17">
        <v>2020</v>
      </c>
      <c r="D81" s="18">
        <v>6443.052228078560</v>
      </c>
    </row>
    <row r="82" ht="20.05" customHeight="1">
      <c r="B82" s="31"/>
      <c r="C82" s="17">
        <v>2030</v>
      </c>
      <c r="D82" s="18">
        <v>4741.1824374921</v>
      </c>
    </row>
    <row r="83" ht="20.05" customHeight="1">
      <c r="B83" s="31"/>
      <c r="C83" s="17">
        <v>2040</v>
      </c>
      <c r="D83" s="18">
        <v>4741.1824374921</v>
      </c>
    </row>
    <row r="84" ht="20.05" customHeight="1">
      <c r="B84" s="31"/>
      <c r="C84" s="17">
        <v>1970</v>
      </c>
      <c r="D84" s="18">
        <v>4741.1824374921</v>
      </c>
    </row>
    <row r="85" ht="20.05" customHeight="1">
      <c r="B85" s="31"/>
      <c r="C85" s="17">
        <v>1960</v>
      </c>
      <c r="D85" s="18">
        <v>7374.0925589837</v>
      </c>
    </row>
    <row r="86" ht="20.05" customHeight="1">
      <c r="B86" s="31"/>
      <c r="C86" s="17">
        <v>2360</v>
      </c>
      <c r="D86" s="18">
        <v>7374.0925589837</v>
      </c>
    </row>
    <row r="87" ht="20.05" customHeight="1">
      <c r="B87" s="31"/>
      <c r="C87" s="17">
        <v>2810</v>
      </c>
      <c r="D87" s="18">
        <v>7374.0925589837</v>
      </c>
    </row>
    <row r="88" ht="20.05" customHeight="1">
      <c r="B88" s="32">
        <v>2021</v>
      </c>
      <c r="C88" s="17">
        <v>2580</v>
      </c>
      <c r="D88" s="18">
        <v>7374.0925589837</v>
      </c>
    </row>
    <row r="89" ht="20.05" customHeight="1">
      <c r="B89" s="31"/>
      <c r="C89" s="17">
        <v>2710</v>
      </c>
      <c r="D89" s="18">
        <v>7374.0925589837</v>
      </c>
    </row>
    <row r="90" ht="20.05" customHeight="1">
      <c r="B90" s="31"/>
      <c r="C90" s="17">
        <v>2540.44751</v>
      </c>
      <c r="D90" s="18">
        <v>4954.068572573550</v>
      </c>
    </row>
    <row r="91" ht="20.05" customHeight="1">
      <c r="B91" s="31"/>
      <c r="C91" s="17">
        <v>2370</v>
      </c>
      <c r="D91" s="18">
        <v>5810.028052835380</v>
      </c>
    </row>
    <row r="92" ht="20.05" customHeight="1">
      <c r="B92" s="31"/>
      <c r="C92" s="17">
        <v>2210</v>
      </c>
      <c r="D92" s="18">
        <v>5810.028052835380</v>
      </c>
    </row>
    <row r="93" ht="20.05" customHeight="1">
      <c r="B93" s="31"/>
      <c r="C93" s="17">
        <v>2010</v>
      </c>
      <c r="D93" s="18">
        <v>5810.028052835380</v>
      </c>
    </row>
    <row r="94" ht="20.05" customHeight="1">
      <c r="B94" s="31"/>
      <c r="C94" s="17">
        <v>2230</v>
      </c>
      <c r="D94" s="18">
        <v>5810.028052835380</v>
      </c>
    </row>
    <row r="95" ht="20.05" customHeight="1">
      <c r="B95" s="31"/>
      <c r="C95" s="17">
        <v>2110</v>
      </c>
      <c r="D95" s="18">
        <v>5810.028052835380</v>
      </c>
    </row>
    <row r="96" ht="20.05" customHeight="1">
      <c r="B96" s="31"/>
      <c r="C96" s="17">
        <v>2720</v>
      </c>
      <c r="D96" s="22"/>
    </row>
    <row r="97" ht="20.05" customHeight="1">
      <c r="B97" s="31"/>
      <c r="C97" s="17">
        <v>2750</v>
      </c>
      <c r="D97" s="18">
        <f>C97</f>
        <v>2750</v>
      </c>
    </row>
    <row r="98" ht="20.05" customHeight="1">
      <c r="B98" s="31"/>
      <c r="C98" s="17"/>
      <c r="D98" s="18">
        <f>'Model'!F44</f>
        <v>9586.266810083371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