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<sst xmlns="http://schemas.openxmlformats.org/spreadsheetml/2006/main" uniqueCount="57">
  <si>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</si>
  <si>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</si>
  <si>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</si>
  <si>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</si>
  <si>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</si>
  <si>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</si>
  <si>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</si>
  <si>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</si>
  <si>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</si>
  <si>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</si>
  <si>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</si>
  <si>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</si>
  <si>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</si>
  <si>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</si>
  <si>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</si>
  <si>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</si>
  <si>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</si>
  <si>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</si>
  <si>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</si>
  <si>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</si>
  <si>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</si>
  <si>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</si>
  <si>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</si>
  <si>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</si>
  <si>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</si>
  <si>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</si>
  <si>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</si>
  <si>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</si>
  <si>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</si>
  <si>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</si>
  <si>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</si>
  <si>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</si>
  <si>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</si>
  <si>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</si>
  <si>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</si>
  <si>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</si>
  <si>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</si>
  <si>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</si>
  <si>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</si>
  <si>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</si>
  <si>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</si>
  <si>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>Non cash costs</t>
  </si>
  <si>
    <t>Forex loss</t>
  </si>
  <si>
    <t>Profit</t>
  </si>
  <si>
    <t xml:space="preserve">Sales growth </t>
  </si>
  <si>
    <t xml:space="preserve">Cashflow costs </t>
  </si>
  <si>
    <t>Cashflow</t>
  </si>
  <si>
    <t>Receipts</t>
  </si>
  <si>
    <t>Capex</t>
  </si>
  <si>
    <t>Leases</t>
  </si>
  <si>
    <t xml:space="preserve">Free cashflow </t>
  </si>
  <si>
    <t>Cash</t>
  </si>
  <si>
    <t>Assets</t>
  </si>
  <si>
    <t>Check</t>
  </si>
  <si>
    <t>Share price</t>
  </si>
  <si>
    <t>POWR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</si>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</sst>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0" fontId="3" borderId="4" applyNumberFormat="0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3" fontId="4" borderId="6" applyNumberFormat="1" applyFont="1" applyFill="0" applyBorder="1" applyAlignment="1" applyProtection="0">
      <alignment horizontal="right" vertical="center" wrapText="1" readingOrder="1"/>
    </xf>
    <xf numFmtId="0" fontId="4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1008440</xdr:colOff>
      <xdr:row>2</xdr:row>
      <xdr:rowOff>151913</xdr:rowOff>
    </xdr:from>
    <xdr:to>
      <xdr:col>13</xdr:col>
      <xdr:colOff>595549</xdr:colOff>
      <xdr:row>45</xdr:row>
      <xdr:rowOff>29597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5740" y="688488"/>
          <a:ext cx="8299310" cy="108320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4219" style="1" customWidth="1"/>
    <col min="2" max="2" width="14.7656" style="1" customWidth="1"/>
    <col min="3" max="6" width="7.85938" style="1" customWidth="1"/>
    <col min="7" max="16384" width="16.3516" style="1" customWidth="1"/>
  </cols>
  <sheetData>
    <row r="1" ht="14.6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AVERAGE('Sales'!H23:H26)</f>
        <v>0.0358721623198027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0.07000000000000001</v>
      </c>
      <c r="D5" s="12">
        <v>-0.01</v>
      </c>
      <c r="E5" s="12">
        <v>0.05</v>
      </c>
      <c r="F5" s="12">
        <v>0.05</v>
      </c>
    </row>
    <row r="6" ht="20.05" customHeight="1">
      <c r="B6" t="s" s="10">
        <v>5</v>
      </c>
      <c r="C6" s="13">
        <f>'Sales'!C26*(1+C5)</f>
        <v>134.713</v>
      </c>
      <c r="D6" s="14">
        <f>C6*(1+D5)</f>
        <v>133.36587</v>
      </c>
      <c r="E6" s="14">
        <f>D6*(1+E5)</f>
        <v>140.0341635</v>
      </c>
      <c r="F6" s="14">
        <f>E6*(1+F5)</f>
        <v>147.035871675</v>
      </c>
    </row>
    <row r="7" ht="20.05" customHeight="1">
      <c r="B7" t="s" s="10">
        <v>6</v>
      </c>
      <c r="C7" s="11">
        <f>AVERAGE('Sales'!I26)</f>
        <v>-0.707704527402701</v>
      </c>
      <c r="D7" s="12">
        <f>C7</f>
        <v>-0.707704527402701</v>
      </c>
      <c r="E7" s="12">
        <f>D7</f>
        <v>-0.707704527402701</v>
      </c>
      <c r="F7" s="12">
        <f>E7</f>
        <v>-0.707704527402701</v>
      </c>
    </row>
    <row r="8" ht="20.05" customHeight="1">
      <c r="B8" t="s" s="10">
        <v>7</v>
      </c>
      <c r="C8" s="15">
        <f>C6*C7</f>
        <v>-95.3370000000001</v>
      </c>
      <c r="D8" s="16">
        <f>D6*D7</f>
        <v>-94.3836300000001</v>
      </c>
      <c r="E8" s="16">
        <f>E6*E7</f>
        <v>-99.1028115000001</v>
      </c>
      <c r="F8" s="16">
        <f>F6*F7</f>
        <v>-104.057952075</v>
      </c>
    </row>
    <row r="9" ht="20.05" customHeight="1">
      <c r="B9" t="s" s="10">
        <v>8</v>
      </c>
      <c r="C9" s="15">
        <f>C6+C8</f>
        <v>39.3759999999999</v>
      </c>
      <c r="D9" s="16">
        <f>D6+D8</f>
        <v>38.9822399999999</v>
      </c>
      <c r="E9" s="16">
        <f>E6+E8</f>
        <v>40.9313519999999</v>
      </c>
      <c r="F9" s="16">
        <f>F6+F8</f>
        <v>42.9779196</v>
      </c>
    </row>
    <row r="10" ht="20.05" customHeight="1">
      <c r="B10" t="s" s="10">
        <v>9</v>
      </c>
      <c r="C10" s="15">
        <f>AVERAGE('Cashflow '!D26)</f>
        <v>-4.7</v>
      </c>
      <c r="D10" s="16">
        <f>C10</f>
        <v>-4.7</v>
      </c>
      <c r="E10" s="16">
        <f>D10</f>
        <v>-4.7</v>
      </c>
      <c r="F10" s="16">
        <f>E10</f>
        <v>-4.7</v>
      </c>
    </row>
    <row r="11" ht="20.05" customHeight="1">
      <c r="B11" t="s" s="10">
        <v>10</v>
      </c>
      <c r="C11" s="15">
        <f>C12+C13+C15</f>
        <v>-34.6759999999999</v>
      </c>
      <c r="D11" s="16">
        <f>D12+D13+D15</f>
        <v>-34.2822399999999</v>
      </c>
      <c r="E11" s="16">
        <f>E12+E13+E15</f>
        <v>-36.2313519999999</v>
      </c>
      <c r="F11" s="16">
        <f>F12+F13+F15</f>
        <v>-38.2779196</v>
      </c>
    </row>
    <row r="12" ht="20.05" customHeight="1">
      <c r="B12" t="s" s="10">
        <v>11</v>
      </c>
      <c r="C12" s="15">
        <f>-'Balance sheet'!G26/20</f>
        <v>-33.5</v>
      </c>
      <c r="D12" s="16">
        <f>-C26/20</f>
        <v>-31.825</v>
      </c>
      <c r="E12" s="16">
        <f>-D26/20</f>
        <v>-30.23375</v>
      </c>
      <c r="F12" s="16">
        <f>-E26/20</f>
        <v>-28.7220625</v>
      </c>
    </row>
    <row r="13" ht="20.05" customHeight="1">
      <c r="B13" t="s" s="10">
        <v>12</v>
      </c>
      <c r="C13" s="15">
        <f>IF(C21&gt;0,-C21*0.5,0)</f>
        <v>-13.388</v>
      </c>
      <c r="D13" s="16">
        <f>IF(D21&gt;0,-D21*0.5,0)</f>
        <v>-13.19112</v>
      </c>
      <c r="E13" s="16">
        <f>IF(E21&gt;0,-E21*0.5,0)</f>
        <v>-14.165676</v>
      </c>
      <c r="F13" s="16">
        <f>IF(F21&gt;0,-F21*0.5,0)</f>
        <v>-15.1889598</v>
      </c>
    </row>
    <row r="14" ht="20.05" customHeight="1">
      <c r="B14" t="s" s="10">
        <v>13</v>
      </c>
      <c r="C14" s="15">
        <f>C9+C10+C12+C13</f>
        <v>-12.2120000000001</v>
      </c>
      <c r="D14" s="16">
        <f>D9+D10+D12+D13</f>
        <v>-10.7338800000001</v>
      </c>
      <c r="E14" s="16">
        <f>E9+E10+E12+E13</f>
        <v>-8.1680740000001</v>
      </c>
      <c r="F14" s="16">
        <f>F9+F10+F12+F13</f>
        <v>-5.6331027</v>
      </c>
    </row>
    <row r="15" ht="20.05" customHeight="1">
      <c r="B15" t="s" s="10">
        <v>14</v>
      </c>
      <c r="C15" s="15">
        <f>-MIN(0,C14)</f>
        <v>12.2120000000001</v>
      </c>
      <c r="D15" s="16">
        <f>-MIN(C27,D14)</f>
        <v>10.7338800000001</v>
      </c>
      <c r="E15" s="16">
        <f>-MIN(D27,E14)</f>
        <v>8.1680740000001</v>
      </c>
      <c r="F15" s="16">
        <f>-MIN(E27,F14)</f>
        <v>5.6331027</v>
      </c>
    </row>
    <row r="16" ht="20.05" customHeight="1">
      <c r="B16" t="s" s="10">
        <v>15</v>
      </c>
      <c r="C16" s="15">
        <f>'Balance sheet'!C26</f>
        <v>326</v>
      </c>
      <c r="D16" s="16">
        <f>C18</f>
        <v>326</v>
      </c>
      <c r="E16" s="16">
        <f>D18</f>
        <v>326</v>
      </c>
      <c r="F16" s="16">
        <f>E18</f>
        <v>326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326</v>
      </c>
      <c r="D18" s="16">
        <f>D16+D17</f>
        <v>326</v>
      </c>
      <c r="E18" s="16">
        <f>E16+E17</f>
        <v>326</v>
      </c>
      <c r="F18" s="16">
        <f>F16+F17</f>
        <v>326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-AVERAGE('Sales'!E26)</f>
        <v>-12.6</v>
      </c>
      <c r="D20" s="16">
        <f>C20</f>
        <v>-12.6</v>
      </c>
      <c r="E20" s="16">
        <f>D20</f>
        <v>-12.6</v>
      </c>
      <c r="F20" s="16">
        <f>E20</f>
        <v>-12.6</v>
      </c>
    </row>
    <row r="21" ht="20.05" customHeight="1">
      <c r="B21" t="s" s="10">
        <v>18</v>
      </c>
      <c r="C21" s="15">
        <f>C6+C8+C20</f>
        <v>26.7759999999999</v>
      </c>
      <c r="D21" s="16">
        <f>D6+D8+D20</f>
        <v>26.3822399999999</v>
      </c>
      <c r="E21" s="16">
        <f>E6+E8+E20</f>
        <v>28.3313519999999</v>
      </c>
      <c r="F21" s="16">
        <f>F6+F8+F20</f>
        <v>30.3779196</v>
      </c>
    </row>
    <row r="22" ht="20.05" customHeight="1">
      <c r="B22" t="s" s="10">
        <v>20</v>
      </c>
      <c r="C22" s="15"/>
      <c r="D22" s="16"/>
      <c r="E22" s="16"/>
      <c r="F22" s="16"/>
    </row>
    <row r="23" ht="20.05" customHeight="1">
      <c r="B23" t="s" s="10">
        <v>21</v>
      </c>
      <c r="C23" s="15">
        <f>'Balance sheet'!E26+'Balance sheet'!F26-C10</f>
        <v>1899.7</v>
      </c>
      <c r="D23" s="16">
        <f>C23-D10</f>
        <v>1904.4</v>
      </c>
      <c r="E23" s="16">
        <f>D23-E10</f>
        <v>1909.1</v>
      </c>
      <c r="F23" s="16">
        <f>E23-F10</f>
        <v>1913.8</v>
      </c>
    </row>
    <row r="24" ht="20.05" customHeight="1">
      <c r="B24" t="s" s="10">
        <v>22</v>
      </c>
      <c r="C24" s="15">
        <f>'Balance sheet'!F26-C20</f>
        <v>867.6</v>
      </c>
      <c r="D24" s="16">
        <f>C24-D20</f>
        <v>880.2</v>
      </c>
      <c r="E24" s="16">
        <f>D24-E20</f>
        <v>892.8</v>
      </c>
      <c r="F24" s="16">
        <f>E24-F20</f>
        <v>905.4</v>
      </c>
    </row>
    <row r="25" ht="20.05" customHeight="1">
      <c r="B25" t="s" s="10">
        <v>23</v>
      </c>
      <c r="C25" s="15">
        <f>C23-C24</f>
        <v>1032.1</v>
      </c>
      <c r="D25" s="16">
        <f>D23-D24</f>
        <v>1024.2</v>
      </c>
      <c r="E25" s="16">
        <f>E23-E24</f>
        <v>1016.3</v>
      </c>
      <c r="F25" s="16">
        <f>F23-F24</f>
        <v>1008.4</v>
      </c>
    </row>
    <row r="26" ht="20.05" customHeight="1">
      <c r="B26" t="s" s="10">
        <v>11</v>
      </c>
      <c r="C26" s="15">
        <f>'Balance sheet'!G26+C12</f>
        <v>636.5</v>
      </c>
      <c r="D26" s="16">
        <f>C26+D12</f>
        <v>604.675</v>
      </c>
      <c r="E26" s="16">
        <f>D26+E12</f>
        <v>574.44125</v>
      </c>
      <c r="F26" s="16">
        <f>E26+F12</f>
        <v>545.7191875</v>
      </c>
    </row>
    <row r="27" ht="20.05" customHeight="1">
      <c r="B27" t="s" s="10">
        <v>14</v>
      </c>
      <c r="C27" s="15">
        <f>C15</f>
        <v>12.2120000000001</v>
      </c>
      <c r="D27" s="16">
        <f>C27+D15</f>
        <v>22.9458800000002</v>
      </c>
      <c r="E27" s="16">
        <f>D27+E15</f>
        <v>31.1139540000003</v>
      </c>
      <c r="F27" s="16">
        <f>E27+F15</f>
        <v>36.7470567000003</v>
      </c>
    </row>
    <row r="28" ht="20.05" customHeight="1">
      <c r="B28" t="s" s="10">
        <v>12</v>
      </c>
      <c r="C28" s="15">
        <f>'Balance sheet'!H26+C21+C13</f>
        <v>709.388</v>
      </c>
      <c r="D28" s="16">
        <f>C28+D21+D13</f>
        <v>722.57912</v>
      </c>
      <c r="E28" s="16">
        <f>D28+E21+E13</f>
        <v>736.744796</v>
      </c>
      <c r="F28" s="16">
        <f>E28+F21+F13</f>
        <v>751.9337558</v>
      </c>
    </row>
    <row r="29" ht="20.05" customHeight="1">
      <c r="B29" t="s" s="10">
        <v>24</v>
      </c>
      <c r="C29" s="15">
        <f>C26+C27+C28-C18-C25</f>
        <v>1e-13</v>
      </c>
      <c r="D29" s="16">
        <f>D26+D27+D28-D18-D25</f>
        <v>2e-13</v>
      </c>
      <c r="E29" s="16">
        <f>E26+E27+E28-E18-E25</f>
        <v>3e-13</v>
      </c>
      <c r="F29" s="16">
        <f>F26+F27+F28-F18-F25</f>
        <v>3e-13</v>
      </c>
    </row>
    <row r="30" ht="20.05" customHeight="1">
      <c r="B30" t="s" s="10">
        <v>25</v>
      </c>
      <c r="C30" s="15">
        <f>C18-C26-C27</f>
        <v>-322.712</v>
      </c>
      <c r="D30" s="16">
        <f>D18-D26-D27</f>
        <v>-301.62088</v>
      </c>
      <c r="E30" s="16">
        <f>E18-E26-E27</f>
        <v>-279.555204</v>
      </c>
      <c r="F30" s="16">
        <f>F18-F26-F27</f>
        <v>-256.4662442</v>
      </c>
    </row>
    <row r="31" ht="20.05" customHeight="1">
      <c r="B31" t="s" s="10">
        <v>26</v>
      </c>
      <c r="C31" s="15"/>
      <c r="D31" s="16"/>
      <c r="E31" s="16"/>
      <c r="F31" s="16"/>
    </row>
    <row r="32" ht="20.05" customHeight="1">
      <c r="B32" t="s" s="10">
        <v>27</v>
      </c>
      <c r="C32" s="15"/>
      <c r="D32" s="16"/>
      <c r="E32" s="16"/>
      <c r="F32" s="16">
        <v>14</v>
      </c>
    </row>
    <row r="33" ht="20.05" customHeight="1">
      <c r="B33" t="s" s="10">
        <v>28</v>
      </c>
      <c r="C33" s="15">
        <f>'Cashflow '!M26-C11</f>
        <v>205.256</v>
      </c>
      <c r="D33" s="16">
        <f>C33-D11</f>
        <v>239.53824</v>
      </c>
      <c r="E33" s="16">
        <f>D33-E11</f>
        <v>275.769592</v>
      </c>
      <c r="F33" s="16">
        <f>E33-F11</f>
        <v>314.0475116</v>
      </c>
    </row>
    <row r="34" ht="20.05" customHeight="1">
      <c r="B34" t="s" s="10">
        <v>29</v>
      </c>
      <c r="C34" s="15"/>
      <c r="D34" s="16"/>
      <c r="E34" s="16"/>
      <c r="F34" s="16">
        <f>10909/F32</f>
        <v>779.214285714286</v>
      </c>
    </row>
    <row r="35" ht="20.05" customHeight="1">
      <c r="B35" t="s" s="10">
        <v>30</v>
      </c>
      <c r="C35" s="15"/>
      <c r="D35" s="16"/>
      <c r="E35" s="16"/>
      <c r="F35" s="19">
        <f>F34/(F18+F25)</f>
        <v>0.583943559438164</v>
      </c>
    </row>
    <row r="36" ht="20.05" customHeight="1">
      <c r="B36" t="s" s="10">
        <v>31</v>
      </c>
      <c r="C36" s="15"/>
      <c r="D36" s="16"/>
      <c r="E36" s="16"/>
      <c r="F36" s="20">
        <f>-(C13+D13+E13+F13)/F34</f>
        <v>0.07178225146209551</v>
      </c>
    </row>
    <row r="37" ht="20.05" customHeight="1">
      <c r="B37" t="s" s="10">
        <v>3</v>
      </c>
      <c r="C37" s="15"/>
      <c r="D37" s="16"/>
      <c r="E37" s="16"/>
      <c r="F37" s="16">
        <f>SUM(C9:F10)</f>
        <v>143.4675116</v>
      </c>
    </row>
    <row r="38" ht="20.05" customHeight="1">
      <c r="B38" t="s" s="10">
        <v>32</v>
      </c>
      <c r="C38" s="15"/>
      <c r="D38" s="16"/>
      <c r="E38" s="16"/>
      <c r="F38" s="16">
        <f>'Balance sheet'!E25/F37</f>
        <v>7.44419407634028</v>
      </c>
    </row>
    <row r="39" ht="20.05" customHeight="1">
      <c r="B39" t="s" s="10">
        <v>26</v>
      </c>
      <c r="C39" s="15"/>
      <c r="D39" s="16"/>
      <c r="E39" s="16"/>
      <c r="F39" s="16">
        <f>F34/F37</f>
        <v>5.43129435385207</v>
      </c>
    </row>
    <row r="40" ht="20.05" customHeight="1">
      <c r="B40" t="s" s="10">
        <v>33</v>
      </c>
      <c r="C40" s="15"/>
      <c r="D40" s="16"/>
      <c r="E40" s="16"/>
      <c r="F40" s="16">
        <v>10</v>
      </c>
    </row>
    <row r="41" ht="20.05" customHeight="1">
      <c r="B41" t="s" s="10">
        <v>34</v>
      </c>
      <c r="C41" s="15"/>
      <c r="D41" s="16"/>
      <c r="E41" s="16"/>
      <c r="F41" s="16">
        <f>F37*F40</f>
        <v>1434.675116</v>
      </c>
    </row>
    <row r="42" ht="20.05" customHeight="1">
      <c r="B42" t="s" s="10">
        <v>35</v>
      </c>
      <c r="C42" s="15"/>
      <c r="D42" s="16"/>
      <c r="E42" s="16"/>
      <c r="F42" s="16">
        <f>10090/F44</f>
        <v>15.765625</v>
      </c>
    </row>
    <row r="43" ht="20.05" customHeight="1">
      <c r="B43" t="s" s="10">
        <v>36</v>
      </c>
      <c r="C43" s="15"/>
      <c r="D43" s="16"/>
      <c r="E43" s="16"/>
      <c r="F43" s="16">
        <f>(F41/F42)*F32</f>
        <v>1274.0028780337</v>
      </c>
    </row>
    <row r="44" ht="20.05" customHeight="1">
      <c r="B44" t="s" s="10">
        <v>37</v>
      </c>
      <c r="C44" s="15"/>
      <c r="D44" s="16"/>
      <c r="E44" s="16"/>
      <c r="F44" s="16">
        <f>'Share price '!C74</f>
        <v>640</v>
      </c>
    </row>
    <row r="45" ht="20.05" customHeight="1">
      <c r="B45" t="s" s="10">
        <v>38</v>
      </c>
      <c r="C45" s="15"/>
      <c r="D45" s="16"/>
      <c r="E45" s="16"/>
      <c r="F45" s="20">
        <f>F43/F44-1</f>
        <v>0.990629496927656</v>
      </c>
    </row>
    <row r="46" ht="20.05" customHeight="1">
      <c r="B46" t="s" s="10">
        <v>39</v>
      </c>
      <c r="C46" s="15"/>
      <c r="D46" s="16"/>
      <c r="E46" s="16"/>
      <c r="F46" s="20">
        <f>'Sales'!C26/'Sales'!C22-1</f>
        <v>0.144545454545455</v>
      </c>
    </row>
    <row r="47" ht="20.05" customHeight="1">
      <c r="B47" t="s" s="10">
        <v>40</v>
      </c>
      <c r="C47" s="15"/>
      <c r="D47" s="16"/>
      <c r="E47" s="16"/>
      <c r="F47" s="20">
        <f>('Sales'!D24+'Sales'!D25+'Sales'!D26)/('Sales'!C24+'Sales'!C25+'Sales'!C26)-1</f>
        <v>-0.0173879040667362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59375" style="21" customWidth="1"/>
    <col min="2" max="11" width="9.67969" style="21" customWidth="1"/>
    <col min="12" max="16384" width="16.3516" style="21" customWidth="1"/>
  </cols>
  <sheetData>
    <row r="1" ht="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</v>
      </c>
      <c r="D3" t="s" s="4">
        <v>33</v>
      </c>
      <c r="E3" t="s" s="4">
        <v>41</v>
      </c>
      <c r="F3" t="s" s="4">
        <v>42</v>
      </c>
      <c r="G3" t="s" s="4">
        <v>43</v>
      </c>
      <c r="H3" t="s" s="4">
        <v>44</v>
      </c>
      <c r="I3" t="s" s="4">
        <v>6</v>
      </c>
      <c r="J3" t="s" s="4">
        <v>45</v>
      </c>
      <c r="K3" t="s" s="4">
        <v>45</v>
      </c>
    </row>
    <row r="4" ht="20.25" customHeight="1">
      <c r="B4" s="22">
        <v>2016</v>
      </c>
      <c r="C4" s="23">
        <v>135.35</v>
      </c>
      <c r="D4" s="24"/>
      <c r="E4" s="24">
        <f>E5</f>
        <v>9.824999999999999</v>
      </c>
      <c r="F4" s="24"/>
      <c r="G4" s="24">
        <v>83.67</v>
      </c>
      <c r="H4" s="9"/>
      <c r="I4" s="9">
        <f>(E4+G4-C4)/C4</f>
        <v>-0.309235315847802</v>
      </c>
      <c r="J4" s="9"/>
      <c r="K4" s="9"/>
    </row>
    <row r="5" ht="20.05" customHeight="1">
      <c r="B5" s="25"/>
      <c r="C5" s="15">
        <f>274.66-C4</f>
        <v>139.31</v>
      </c>
      <c r="D5" s="16"/>
      <c r="E5" s="16">
        <f>E6</f>
        <v>9.824999999999999</v>
      </c>
      <c r="F5" s="16"/>
      <c r="G5" s="16">
        <f>106.5-G4</f>
        <v>22.83</v>
      </c>
      <c r="H5" s="12">
        <f>C5/C4-1</f>
        <v>0.0292574806058367</v>
      </c>
      <c r="I5" s="12">
        <f>(E5+G5-C5)/C5</f>
        <v>-0.765594716818606</v>
      </c>
      <c r="J5" s="12"/>
      <c r="K5" s="12"/>
    </row>
    <row r="6" ht="20.05" customHeight="1">
      <c r="B6" s="25"/>
      <c r="C6" s="15">
        <f>408-SUM(C4:C5)</f>
        <v>133.34</v>
      </c>
      <c r="D6" s="16"/>
      <c r="E6" s="16">
        <f>E7</f>
        <v>9.824999999999999</v>
      </c>
      <c r="F6" s="16"/>
      <c r="G6" s="16">
        <f>109.4-SUM(G4:G5)</f>
        <v>2.9</v>
      </c>
      <c r="H6" s="12">
        <f>C6/C5-1</f>
        <v>-0.0428540664704616</v>
      </c>
      <c r="I6" s="12">
        <f>(E6+G6-C6)/C6</f>
        <v>-0.904567271636418</v>
      </c>
      <c r="J6" s="12"/>
      <c r="K6" s="12"/>
    </row>
    <row r="7" ht="20.05" customHeight="1">
      <c r="B7" s="25"/>
      <c r="C7" s="15">
        <f>550.8-SUM(C4:C6)</f>
        <v>142.8</v>
      </c>
      <c r="D7" s="16"/>
      <c r="E7" s="16">
        <f>39.3/4</f>
        <v>9.824999999999999</v>
      </c>
      <c r="F7" s="16"/>
      <c r="G7" s="16">
        <f>103.84-SUM(G4:G6)</f>
        <v>-5.56</v>
      </c>
      <c r="H7" s="12">
        <f>C7/C6-1</f>
        <v>0.0709464526773661</v>
      </c>
      <c r="I7" s="12">
        <f>(E7+G7-C7)/C7</f>
        <v>-0.970133053221289</v>
      </c>
      <c r="J7" s="12"/>
      <c r="K7" s="12"/>
    </row>
    <row r="8" ht="20.05" customHeight="1">
      <c r="B8" s="26">
        <v>2017</v>
      </c>
      <c r="C8" s="15">
        <v>138.59</v>
      </c>
      <c r="D8" s="16"/>
      <c r="E8" s="16">
        <f>E9</f>
        <v>9.975</v>
      </c>
      <c r="F8" s="16"/>
      <c r="G8" s="16">
        <v>27.49</v>
      </c>
      <c r="H8" s="12">
        <f>C8/C7-1</f>
        <v>-0.0294817927170868</v>
      </c>
      <c r="I8" s="12">
        <f>(E8+G8-C8)/C8</f>
        <v>-0.7296702503788151</v>
      </c>
      <c r="J8" s="12"/>
      <c r="K8" s="12">
        <f>('Cashflow '!E8-'Cashflow '!C8)/'Cashflow '!C8</f>
        <v>-0.756115107913669</v>
      </c>
    </row>
    <row r="9" ht="20.05" customHeight="1">
      <c r="B9" s="25"/>
      <c r="C9" s="15">
        <f>281-C8</f>
        <v>142.41</v>
      </c>
      <c r="D9" s="16"/>
      <c r="E9" s="16">
        <f>E10</f>
        <v>9.975</v>
      </c>
      <c r="F9" s="16"/>
      <c r="G9" s="16">
        <f>56-G8</f>
        <v>28.51</v>
      </c>
      <c r="H9" s="12">
        <f>C9/C8-1</f>
        <v>0.0275633162565842</v>
      </c>
      <c r="I9" s="12">
        <f>(E9+G9-C9)/C9</f>
        <v>-0.729759146127379</v>
      </c>
      <c r="J9" s="12"/>
      <c r="K9" s="12">
        <f>('Cashflow '!E9-'Cashflow '!C9)/'Cashflow '!C9</f>
        <v>-0.7</v>
      </c>
    </row>
    <row r="10" ht="20.05" customHeight="1">
      <c r="B10" s="25"/>
      <c r="C10" s="15">
        <f>421-SUM(C8:C9)</f>
        <v>140</v>
      </c>
      <c r="D10" s="16"/>
      <c r="E10" s="16">
        <f>E11</f>
        <v>9.975</v>
      </c>
      <c r="F10" s="16"/>
      <c r="G10" s="16">
        <f>79-SUM(G8:G9)</f>
        <v>23</v>
      </c>
      <c r="H10" s="12">
        <f>C10/C9-1</f>
        <v>-0.0169229688926339</v>
      </c>
      <c r="I10" s="12">
        <f>(E10+G10-C10)/C10</f>
        <v>-0.764464285714286</v>
      </c>
      <c r="J10" s="12"/>
      <c r="K10" s="12">
        <f>('Cashflow '!E10-'Cashflow '!C10)/'Cashflow '!C10</f>
        <v>-0.801418439716312</v>
      </c>
    </row>
    <row r="11" ht="20.05" customHeight="1">
      <c r="B11" s="25"/>
      <c r="C11" s="15">
        <f>566-SUM(C8:C10)</f>
        <v>145</v>
      </c>
      <c r="D11" s="16"/>
      <c r="E11" s="16">
        <f>(0.2+39.7)/4</f>
        <v>9.975</v>
      </c>
      <c r="F11" s="16"/>
      <c r="G11" s="16">
        <f>107-SUM(G8:G10)</f>
        <v>28</v>
      </c>
      <c r="H11" s="12">
        <f>C11/C10-1</f>
        <v>0.0357142857142857</v>
      </c>
      <c r="I11" s="12">
        <f>(E11+G11-C11)/C11</f>
        <v>-0.7381034482758621</v>
      </c>
      <c r="J11" s="12">
        <f>AVERAGE(K8:K11)</f>
        <v>-0.738521317941978</v>
      </c>
      <c r="K11" s="12">
        <f>('Cashflow '!E11-'Cashflow '!C11)/'Cashflow '!C11</f>
        <v>-0.696551724137931</v>
      </c>
    </row>
    <row r="12" ht="20.05" customHeight="1">
      <c r="B12" s="26">
        <v>2018</v>
      </c>
      <c r="C12" s="15">
        <v>104</v>
      </c>
      <c r="D12" s="16"/>
      <c r="E12" s="16">
        <f>E13</f>
        <v>14.7</v>
      </c>
      <c r="F12" s="16"/>
      <c r="G12" s="16">
        <v>23</v>
      </c>
      <c r="H12" s="12">
        <f>C12/C11-1</f>
        <v>-0.282758620689655</v>
      </c>
      <c r="I12" s="12">
        <f>(E12+G12-C12)/C12</f>
        <v>-0.6375</v>
      </c>
      <c r="J12" s="12">
        <f>AVERAGE(K9:K12)</f>
        <v>-0.781732978122031</v>
      </c>
      <c r="K12" s="12">
        <f>('Cashflow '!E12-'Cashflow '!C12)/'Cashflow '!C12</f>
        <v>-0.92896174863388</v>
      </c>
    </row>
    <row r="13" ht="20.05" customHeight="1">
      <c r="B13" s="25"/>
      <c r="C13" s="15">
        <f>205-C12</f>
        <v>101</v>
      </c>
      <c r="D13" s="16"/>
      <c r="E13" s="16">
        <f>E14</f>
        <v>14.7</v>
      </c>
      <c r="F13" s="16"/>
      <c r="G13" s="16">
        <f>40-G12</f>
        <v>17</v>
      </c>
      <c r="H13" s="12">
        <f>C13/C12-1</f>
        <v>-0.0288461538461538</v>
      </c>
      <c r="I13" s="12">
        <f>(E13+G13-C13)/C13</f>
        <v>-0.686138613861386</v>
      </c>
      <c r="J13" s="12">
        <f>AVERAGE(K10:K13)</f>
        <v>-0.724521439660492</v>
      </c>
      <c r="K13" s="12">
        <f>('Cashflow '!E13-'Cashflow '!C13)/'Cashflow '!C13</f>
        <v>-0.471153846153846</v>
      </c>
    </row>
    <row r="14" ht="20.05" customHeight="1">
      <c r="B14" s="25"/>
      <c r="C14" s="15">
        <f>426-SUM(C12:C13)</f>
        <v>221</v>
      </c>
      <c r="D14" s="16"/>
      <c r="E14" s="16">
        <f>E15</f>
        <v>14.7</v>
      </c>
      <c r="F14" s="16"/>
      <c r="G14" s="16">
        <f>61-SUM(G12:G13)</f>
        <v>21</v>
      </c>
      <c r="H14" s="12">
        <f>C14/C13-1</f>
        <v>1.18811881188119</v>
      </c>
      <c r="I14" s="12">
        <f>(E14+G14-C14)/C14</f>
        <v>-0.838461538461538</v>
      </c>
      <c r="J14" s="12">
        <f>AVERAGE(K11:K14)</f>
        <v>-0.729202800954436</v>
      </c>
      <c r="K14" s="12">
        <f>('Cashflow '!E14-'Cashflow '!C14)/'Cashflow '!C14</f>
        <v>-0.820143884892086</v>
      </c>
    </row>
    <row r="15" ht="20.05" customHeight="1">
      <c r="B15" s="25"/>
      <c r="C15" s="15">
        <f>574-SUM(C12:C14)</f>
        <v>148</v>
      </c>
      <c r="D15" s="16"/>
      <c r="E15" s="16">
        <f>(0.4+58.4)/4</f>
        <v>14.7</v>
      </c>
      <c r="F15" s="16"/>
      <c r="G15" s="16">
        <f>79-SUM(G12:G14)</f>
        <v>18</v>
      </c>
      <c r="H15" s="12">
        <f>C15/C14-1</f>
        <v>-0.330316742081448</v>
      </c>
      <c r="I15" s="12">
        <f>(E15+G15-C15)/C15</f>
        <v>-0.779054054054054</v>
      </c>
      <c r="J15" s="12">
        <f>AVERAGE(K12:K15)</f>
        <v>-0.722850104819282</v>
      </c>
      <c r="K15" s="12">
        <f>('Cashflow '!E15-'Cashflow '!C15)/'Cashflow '!C15</f>
        <v>-0.671140939597315</v>
      </c>
    </row>
    <row r="16" ht="20.05" customHeight="1">
      <c r="B16" s="26">
        <v>2019</v>
      </c>
      <c r="C16" s="15">
        <v>107</v>
      </c>
      <c r="D16" s="16"/>
      <c r="E16" s="16">
        <f>E17</f>
        <v>15.05</v>
      </c>
      <c r="F16" s="16"/>
      <c r="G16" s="16">
        <v>27</v>
      </c>
      <c r="H16" s="12">
        <f>C16/C15-1</f>
        <v>-0.277027027027027</v>
      </c>
      <c r="I16" s="12">
        <f>(E16+G16+F16-C16)/C16</f>
        <v>-0.607009345794393</v>
      </c>
      <c r="J16" s="12">
        <f>AVERAGE(K13:K16)</f>
        <v>-0.6875793646305089</v>
      </c>
      <c r="K16" s="12">
        <f>('Cashflow '!E16-'Cashflow '!C16)/'Cashflow '!C16</f>
        <v>-0.787878787878788</v>
      </c>
    </row>
    <row r="17" ht="20.05" customHeight="1">
      <c r="B17" s="25"/>
      <c r="C17" s="15">
        <f>288-C16</f>
        <v>181</v>
      </c>
      <c r="D17" s="16"/>
      <c r="E17" s="16">
        <f>E18</f>
        <v>15.05</v>
      </c>
      <c r="F17" s="16"/>
      <c r="G17" s="16">
        <f>55-G16</f>
        <v>28</v>
      </c>
      <c r="H17" s="12">
        <f>C17/C16-1</f>
        <v>0.691588785046729</v>
      </c>
      <c r="I17" s="12">
        <f>(E17+G17+F17-C17)/C17</f>
        <v>-0.762154696132597</v>
      </c>
      <c r="J17" s="12">
        <f>AVERAGE(K14:K17)</f>
        <v>-0.738029896802739</v>
      </c>
      <c r="K17" s="12">
        <f>('Cashflow '!E17-'Cashflow '!C17)/'Cashflow '!C17</f>
        <v>-0.672955974842767</v>
      </c>
    </row>
    <row r="18" ht="20.05" customHeight="1">
      <c r="B18" s="25"/>
      <c r="C18" s="15">
        <f>440-SUM(C16:C17)</f>
        <v>152</v>
      </c>
      <c r="D18" s="16"/>
      <c r="E18" s="16">
        <f>E19</f>
        <v>15.05</v>
      </c>
      <c r="F18" s="16"/>
      <c r="G18" s="16">
        <f>79-SUM(G16:G17)</f>
        <v>24</v>
      </c>
      <c r="H18" s="12">
        <f>C18/C17-1</f>
        <v>-0.160220994475138</v>
      </c>
      <c r="I18" s="12">
        <f>(E18+G18+F18-C18)/C18</f>
        <v>-0.7430921052631581</v>
      </c>
      <c r="J18" s="12">
        <f>AVERAGE(K15:K18)</f>
        <v>-0.777821511786614</v>
      </c>
      <c r="K18" s="12">
        <f>('Cashflow '!E18-'Cashflow '!C18)/'Cashflow '!C18</f>
        <v>-0.9793103448275861</v>
      </c>
    </row>
    <row r="19" ht="20.05" customHeight="1">
      <c r="B19" s="25"/>
      <c r="C19" s="15">
        <f>588-SUM(C16:C18)</f>
        <v>148</v>
      </c>
      <c r="D19" s="16"/>
      <c r="E19" s="16">
        <f>(59.8+0.4)/4</f>
        <v>15.05</v>
      </c>
      <c r="F19" s="16"/>
      <c r="G19" s="16">
        <f>113-SUM(G16:G18)</f>
        <v>34</v>
      </c>
      <c r="H19" s="12">
        <f>C19/C18-1</f>
        <v>-0.0263157894736842</v>
      </c>
      <c r="I19" s="12">
        <f>(E19+G19+F19-C19)/C19</f>
        <v>-0.6685810810810811</v>
      </c>
      <c r="J19" s="12">
        <f>AVERAGE(K16:K19)</f>
        <v>-0.787888625880574</v>
      </c>
      <c r="K19" s="12">
        <f>('Cashflow '!E19-'Cashflow '!C19)/'Cashflow '!C19</f>
        <v>-0.711409395973154</v>
      </c>
    </row>
    <row r="20" ht="20.05" customHeight="1">
      <c r="B20" s="26">
        <v>2020</v>
      </c>
      <c r="C20" s="15">
        <v>130</v>
      </c>
      <c r="D20" s="16"/>
      <c r="E20" s="16">
        <f>E21</f>
        <v>13.5333333333333</v>
      </c>
      <c r="F20" s="16">
        <v>25.6</v>
      </c>
      <c r="G20" s="16">
        <f>3</f>
        <v>3</v>
      </c>
      <c r="H20" s="12">
        <f>C20/C19-1</f>
        <v>-0.121621621621622</v>
      </c>
      <c r="I20" s="12">
        <f>(E20+G20+F20-C20)/C20</f>
        <v>-0.675897435897436</v>
      </c>
      <c r="J20" s="12">
        <f>AVERAGE(K17:K20)</f>
        <v>-0.792046748459749</v>
      </c>
      <c r="K20" s="12">
        <f>('Cashflow '!E20-'Cashflow '!C20)/'Cashflow '!C20</f>
        <v>-0.804511278195489</v>
      </c>
    </row>
    <row r="21" ht="20.05" customHeight="1">
      <c r="B21" s="25"/>
      <c r="C21" s="15">
        <f>232-C20</f>
        <v>102</v>
      </c>
      <c r="D21" s="16"/>
      <c r="E21" s="16">
        <f>E22</f>
        <v>13.5333333333333</v>
      </c>
      <c r="F21" s="16"/>
      <c r="G21" s="16">
        <f>36-G20</f>
        <v>33</v>
      </c>
      <c r="H21" s="12">
        <f>C21/C20-1</f>
        <v>-0.215384615384615</v>
      </c>
      <c r="I21" s="12">
        <f>(E21+G21+F21-C21)/C21</f>
        <v>-0.543790849673203</v>
      </c>
      <c r="J21" s="12">
        <f>AVERAGE(K18:K21)</f>
        <v>-0.761603030339609</v>
      </c>
      <c r="K21" s="12">
        <f>('Cashflow '!E21-'Cashflow '!C21)/'Cashflow '!C21</f>
        <v>-0.551181102362205</v>
      </c>
    </row>
    <row r="22" ht="20.05" customHeight="1">
      <c r="B22" s="25"/>
      <c r="C22" s="15">
        <f>342-SUM(C20:C21)</f>
        <v>110</v>
      </c>
      <c r="D22" s="27"/>
      <c r="E22" s="16">
        <f>(0.3+40.3)/3</f>
        <v>13.5333333333333</v>
      </c>
      <c r="F22" s="16"/>
      <c r="G22" s="16">
        <f>49-SUM(G20:G21)</f>
        <v>13</v>
      </c>
      <c r="H22" s="12">
        <f>C22/C21-1</f>
        <v>0.07843137254901961</v>
      </c>
      <c r="I22" s="12">
        <f>(E22+G22+F22-C22)/C22</f>
        <v>-0.758787878787879</v>
      </c>
      <c r="J22" s="12">
        <f>AVERAGE(K19:K22)</f>
        <v>-0.703668648016207</v>
      </c>
      <c r="K22" s="12">
        <f>('Cashflow '!E22-'Cashflow '!C22)/'Cashflow '!C22</f>
        <v>-0.747572815533981</v>
      </c>
    </row>
    <row r="23" ht="20.05" customHeight="1">
      <c r="B23" s="25"/>
      <c r="C23" s="15">
        <f>465.9-SUM(C20:C22)</f>
        <v>123.9</v>
      </c>
      <c r="D23" s="16"/>
      <c r="E23" s="16">
        <f>0.4+53.7-SUM(E20:E22)</f>
        <v>13.5000000000001</v>
      </c>
      <c r="F23" s="16"/>
      <c r="G23" s="16">
        <f>74.7-SUM(G20:G22)</f>
        <v>25.7</v>
      </c>
      <c r="H23" s="12">
        <f>C23/C22-1</f>
        <v>0.126363636363636</v>
      </c>
      <c r="I23" s="12">
        <f>(E23+G23+F23-C23)/C23</f>
        <v>-0.683615819209039</v>
      </c>
      <c r="J23" s="12">
        <f>AVERAGE(K20:K23)</f>
        <v>-0.648832172038792</v>
      </c>
      <c r="K23" s="12">
        <f>('Cashflow '!E23-'Cashflow '!C23)/'Cashflow '!C23</f>
        <v>-0.492063492063492</v>
      </c>
    </row>
    <row r="24" ht="20.05" customHeight="1">
      <c r="B24" s="26">
        <v>2021</v>
      </c>
      <c r="C24" s="15">
        <v>129.2</v>
      </c>
      <c r="D24" s="16">
        <v>121.814</v>
      </c>
      <c r="E24" s="16">
        <f>13+0.9</f>
        <v>13.9</v>
      </c>
      <c r="F24" s="16">
        <v>4.8</v>
      </c>
      <c r="G24" s="16">
        <v>19.6</v>
      </c>
      <c r="H24" s="12">
        <f>C24/C23-1</f>
        <v>0.0427764326069411</v>
      </c>
      <c r="I24" s="12">
        <f>(E24+G24+F24-C24)/C24</f>
        <v>-0.703560371517028</v>
      </c>
      <c r="J24" s="12">
        <f>AVERAGE(K21:K24)</f>
        <v>-0.6223751503210579</v>
      </c>
      <c r="K24" s="12">
        <f>('Cashflow '!E24-'Cashflow '!C24)/'Cashflow '!C24</f>
        <v>-0.698683191324555</v>
      </c>
    </row>
    <row r="25" ht="20.05" customHeight="1">
      <c r="B25" s="25"/>
      <c r="C25" s="15">
        <f>257.7-C24</f>
        <v>128.5</v>
      </c>
      <c r="D25" s="16">
        <v>126.616</v>
      </c>
      <c r="E25" s="16">
        <f>26+2-E24</f>
        <v>14.1</v>
      </c>
      <c r="F25" s="16">
        <f>3.6-F24</f>
        <v>-1.2</v>
      </c>
      <c r="G25" s="16">
        <f>40.3-G24</f>
        <v>20.7</v>
      </c>
      <c r="H25" s="12">
        <f>C25/C24-1</f>
        <v>-0.00541795665634675</v>
      </c>
      <c r="I25" s="12">
        <f>(E25+G25+F25-C25)/C25</f>
        <v>-0.73852140077821</v>
      </c>
      <c r="J25" s="12">
        <f>AVERAGE(K22:K25)</f>
        <v>-0.691896947901239</v>
      </c>
      <c r="K25" s="12">
        <f>('Cashflow '!E25-'Cashflow '!C25)/'Cashflow '!C25</f>
        <v>-0.829268292682927</v>
      </c>
    </row>
    <row r="26" ht="20.05" customHeight="1">
      <c r="B26" s="25"/>
      <c r="C26" s="15">
        <f>313.6+70-SUM(C24:C25)</f>
        <v>125.9</v>
      </c>
      <c r="D26" s="16">
        <v>128.5</v>
      </c>
      <c r="E26" s="16">
        <f>0.3+40.3-SUM(E24:E25)</f>
        <v>12.6</v>
      </c>
      <c r="F26" s="16">
        <f>2-SUM(F24:F25)</f>
        <v>-1.6</v>
      </c>
      <c r="G26" s="16">
        <f>66.1-SUM(G24:G25)</f>
        <v>25.8</v>
      </c>
      <c r="H26" s="12">
        <f>C26/C25-1</f>
        <v>-0.0202334630350195</v>
      </c>
      <c r="I26" s="12">
        <f>(E26+G26+F26-C26)/C26</f>
        <v>-0.707704527402701</v>
      </c>
      <c r="J26" s="12">
        <f>AVERAGE(K23:K26)</f>
        <v>-0.673802193630147</v>
      </c>
      <c r="K26" s="12">
        <f>('Cashflow '!E26-'Cashflow '!C26)/'Cashflow '!C26</f>
        <v>-0.675193798449612</v>
      </c>
    </row>
    <row r="27" ht="20.05" customHeight="1">
      <c r="B27" s="25"/>
      <c r="C27" s="15"/>
      <c r="D27" s="27">
        <f>'Model'!C6</f>
        <v>134.713</v>
      </c>
      <c r="E27" s="16"/>
      <c r="F27" s="16"/>
      <c r="G27" s="16"/>
      <c r="H27" s="12"/>
      <c r="I27" s="12">
        <f>'Model'!C7</f>
        <v>-0.707704527402701</v>
      </c>
      <c r="J27" s="12"/>
      <c r="K27" s="12"/>
    </row>
    <row r="28" ht="20.05" customHeight="1">
      <c r="B28" s="26">
        <v>2022</v>
      </c>
      <c r="C28" s="15"/>
      <c r="D28" s="16">
        <f>'Model'!D6</f>
        <v>133.36587</v>
      </c>
      <c r="E28" s="16"/>
      <c r="F28" s="16"/>
      <c r="G28" s="16"/>
      <c r="H28" s="12"/>
      <c r="I28" s="12"/>
      <c r="J28" s="12"/>
      <c r="K28" s="12"/>
    </row>
    <row r="29" ht="20.05" customHeight="1">
      <c r="B29" s="25"/>
      <c r="C29" s="15"/>
      <c r="D29" s="16">
        <f>'Model'!E6</f>
        <v>140.0341635</v>
      </c>
      <c r="E29" s="16"/>
      <c r="F29" s="16"/>
      <c r="G29" s="16"/>
      <c r="H29" s="12"/>
      <c r="I29" s="12"/>
      <c r="J29" s="12"/>
      <c r="K29" s="12"/>
    </row>
    <row r="30" ht="20.05" customHeight="1">
      <c r="B30" s="25"/>
      <c r="C30" s="15"/>
      <c r="D30" s="16">
        <f>'Model'!F6</f>
        <v>147.035871675</v>
      </c>
      <c r="E30" s="16"/>
      <c r="F30" s="16"/>
      <c r="G30" s="16"/>
      <c r="H30" s="12"/>
      <c r="I30" s="12"/>
      <c r="J30" s="12"/>
      <c r="K30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5781" style="28" customWidth="1"/>
    <col min="2" max="13" width="9.5625" style="28" customWidth="1"/>
    <col min="14" max="16384" width="16.3516" style="28" customWidth="1"/>
  </cols>
  <sheetData>
    <row r="1" ht="32.2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6.75" customHeight="1">
      <c r="B3" t="s" s="4">
        <v>1</v>
      </c>
      <c r="C3" t="s" s="4">
        <v>47</v>
      </c>
      <c r="D3" t="s" s="4">
        <v>48</v>
      </c>
      <c r="E3" t="s" s="4">
        <v>8</v>
      </c>
      <c r="F3" t="s" s="4">
        <v>9</v>
      </c>
      <c r="G3" t="s" s="4">
        <v>49</v>
      </c>
      <c r="H3" t="s" s="4">
        <v>11</v>
      </c>
      <c r="I3" t="s" s="4">
        <v>12</v>
      </c>
      <c r="J3" t="s" s="4">
        <v>10</v>
      </c>
      <c r="K3" t="s" s="4">
        <v>50</v>
      </c>
      <c r="L3" t="s" s="4">
        <v>3</v>
      </c>
      <c r="M3" t="s" s="4">
        <v>28</v>
      </c>
    </row>
    <row r="4" ht="21.4" customHeight="1">
      <c r="B4" s="22">
        <v>2016</v>
      </c>
      <c r="C4" s="23">
        <v>144</v>
      </c>
      <c r="D4" s="24"/>
      <c r="E4" s="24">
        <v>31</v>
      </c>
      <c r="F4" s="24">
        <v>-39</v>
      </c>
      <c r="G4" s="24"/>
      <c r="H4" s="24"/>
      <c r="I4" s="24"/>
      <c r="J4" s="24">
        <v>0</v>
      </c>
      <c r="K4" s="29">
        <f>E4+F4</f>
        <v>-8</v>
      </c>
      <c r="L4" s="29"/>
      <c r="M4" s="24">
        <f>-J4</f>
        <v>0</v>
      </c>
    </row>
    <row r="5" ht="21.2" customHeight="1">
      <c r="B5" s="25"/>
      <c r="C5" s="15">
        <f>280.66-C4</f>
        <v>136.66</v>
      </c>
      <c r="D5" s="16"/>
      <c r="E5" s="16">
        <f>64.5-E4</f>
        <v>33.5</v>
      </c>
      <c r="F5" s="16">
        <f>-69.6-F4</f>
        <v>-30.6</v>
      </c>
      <c r="G5" s="16"/>
      <c r="H5" s="16"/>
      <c r="I5" s="16"/>
      <c r="J5" s="16">
        <f>172.2-J4</f>
        <v>172.2</v>
      </c>
      <c r="K5" s="30">
        <f>E5+F5</f>
        <v>2.9</v>
      </c>
      <c r="L5" s="30"/>
      <c r="M5" s="16">
        <f>-J5+M4</f>
        <v>-172.2</v>
      </c>
    </row>
    <row r="6" ht="21.2" customHeight="1">
      <c r="B6" s="25"/>
      <c r="C6" s="15">
        <f>414.8-SUM(C4:C5)</f>
        <v>134.14</v>
      </c>
      <c r="D6" s="16"/>
      <c r="E6" s="16">
        <f>78.24-SUM(E4:E5)</f>
        <v>13.74</v>
      </c>
      <c r="F6" s="16">
        <f>-94.36-SUM(F4:F5)</f>
        <v>-24.76</v>
      </c>
      <c r="G6" s="16"/>
      <c r="H6" s="16"/>
      <c r="I6" s="16"/>
      <c r="J6" s="16">
        <f>721.89-SUM(J4:J5)</f>
        <v>549.6900000000001</v>
      </c>
      <c r="K6" s="30">
        <f>E6+F6</f>
        <v>-11.02</v>
      </c>
      <c r="L6" s="30"/>
      <c r="M6" s="16">
        <f>-J6+M5</f>
        <v>-721.89</v>
      </c>
    </row>
    <row r="7" ht="21.2" customHeight="1">
      <c r="B7" s="25"/>
      <c r="C7" s="15">
        <f>557.33-SUM(C4:C6)</f>
        <v>142.53</v>
      </c>
      <c r="D7" s="16"/>
      <c r="E7" s="16">
        <f>99.84-SUM(E4:E6)</f>
        <v>21.6</v>
      </c>
      <c r="F7" s="16">
        <f>-117.6-SUM(F4:F6)</f>
        <v>-23.24</v>
      </c>
      <c r="G7" s="16"/>
      <c r="H7" s="16"/>
      <c r="I7" s="16"/>
      <c r="J7" s="16">
        <f>181.12-SUM(J4:J6)</f>
        <v>-540.77</v>
      </c>
      <c r="K7" s="30">
        <f>E7+F7</f>
        <v>-1.64</v>
      </c>
      <c r="L7" s="30"/>
      <c r="M7" s="16">
        <f>-J7+M6</f>
        <v>-181.12</v>
      </c>
    </row>
    <row r="8" ht="21.2" customHeight="1">
      <c r="B8" s="26">
        <v>2017</v>
      </c>
      <c r="C8" s="15">
        <v>139</v>
      </c>
      <c r="D8" s="16">
        <v>-24.5</v>
      </c>
      <c r="E8" s="16">
        <v>33.9</v>
      </c>
      <c r="F8" s="16">
        <v>-22</v>
      </c>
      <c r="G8" s="16"/>
      <c r="H8" s="16"/>
      <c r="I8" s="16"/>
      <c r="J8" s="16">
        <v>-34</v>
      </c>
      <c r="K8" s="30">
        <f>E8+D8</f>
        <v>9.4</v>
      </c>
      <c r="L8" s="30">
        <f>AVERAGE(K5:K8)</f>
        <v>-0.09</v>
      </c>
      <c r="M8" s="16">
        <f>-J8+M7</f>
        <v>-147.12</v>
      </c>
    </row>
    <row r="9" ht="21.2" customHeight="1">
      <c r="B9" s="25"/>
      <c r="C9" s="15">
        <f>276-C8</f>
        <v>137</v>
      </c>
      <c r="D9" s="16">
        <v>-24.5</v>
      </c>
      <c r="E9" s="16">
        <f>75-E8</f>
        <v>41.1</v>
      </c>
      <c r="F9" s="16">
        <f>-45-F8</f>
        <v>-23</v>
      </c>
      <c r="G9" s="16"/>
      <c r="H9" s="16"/>
      <c r="I9" s="16"/>
      <c r="J9" s="16">
        <f>-56-J8</f>
        <v>-22</v>
      </c>
      <c r="K9" s="30">
        <f>E9+D9</f>
        <v>16.6</v>
      </c>
      <c r="L9" s="30">
        <f>AVERAGE(K6:K9)</f>
        <v>3.335</v>
      </c>
      <c r="M9" s="16">
        <f>-J9+M8</f>
        <v>-125.12</v>
      </c>
    </row>
    <row r="10" ht="21.2" customHeight="1">
      <c r="B10" s="25"/>
      <c r="C10" s="15">
        <f>417-SUM(C8:C9)</f>
        <v>141</v>
      </c>
      <c r="D10" s="16">
        <v>-24.5</v>
      </c>
      <c r="E10" s="16">
        <f>103-SUM(E8:E9)</f>
        <v>28</v>
      </c>
      <c r="F10" s="16">
        <f>-65-SUM(F8:F9)</f>
        <v>-20</v>
      </c>
      <c r="G10" s="16"/>
      <c r="H10" s="16"/>
      <c r="I10" s="16"/>
      <c r="J10" s="16">
        <f>-56-SUM(J8:J9)</f>
        <v>0</v>
      </c>
      <c r="K10" s="30">
        <f>E10+D10</f>
        <v>3.5</v>
      </c>
      <c r="L10" s="30">
        <f>AVERAGE(K7:K10)</f>
        <v>6.965</v>
      </c>
      <c r="M10" s="16">
        <f>-J10+M9</f>
        <v>-125.12</v>
      </c>
    </row>
    <row r="11" ht="21.2" customHeight="1">
      <c r="B11" s="25"/>
      <c r="C11" s="15">
        <f>562-SUM(C8:C10)</f>
        <v>145</v>
      </c>
      <c r="D11" s="16">
        <v>-24.5</v>
      </c>
      <c r="E11" s="16">
        <f>147-SUM(E8:E10)</f>
        <v>44</v>
      </c>
      <c r="F11" s="16">
        <f>-148-SUM(F8:F10)</f>
        <v>-83</v>
      </c>
      <c r="G11" s="16"/>
      <c r="H11" s="16"/>
      <c r="I11" s="16"/>
      <c r="J11" s="16">
        <f>-71-SUM(J8:J10)</f>
        <v>-15</v>
      </c>
      <c r="K11" s="30">
        <f>E11+D11</f>
        <v>19.5</v>
      </c>
      <c r="L11" s="30">
        <f>AVERAGE(K8:K11)</f>
        <v>12.25</v>
      </c>
      <c r="M11" s="16">
        <f>-J11+M10</f>
        <v>-110.12</v>
      </c>
    </row>
    <row r="12" ht="21.2" customHeight="1">
      <c r="B12" s="26">
        <v>2018</v>
      </c>
      <c r="C12" s="15">
        <v>183</v>
      </c>
      <c r="D12" s="16">
        <v>-6.5</v>
      </c>
      <c r="E12" s="16">
        <v>13</v>
      </c>
      <c r="F12" s="16">
        <v>-10</v>
      </c>
      <c r="G12" s="16"/>
      <c r="H12" s="16"/>
      <c r="I12" s="16"/>
      <c r="J12" s="16">
        <v>0</v>
      </c>
      <c r="K12" s="30">
        <f>E12+D12</f>
        <v>6.5</v>
      </c>
      <c r="L12" s="30">
        <f>AVERAGE(K9:K12)</f>
        <v>11.525</v>
      </c>
      <c r="M12" s="16">
        <f>-J12+M11</f>
        <v>-110.12</v>
      </c>
    </row>
    <row r="13" ht="21.2" customHeight="1">
      <c r="B13" s="25"/>
      <c r="C13" s="15">
        <f>287-C12</f>
        <v>104</v>
      </c>
      <c r="D13" s="16">
        <v>-6.5</v>
      </c>
      <c r="E13" s="16">
        <f>68-E12</f>
        <v>55</v>
      </c>
      <c r="F13" s="16">
        <f>-17-F12</f>
        <v>-7</v>
      </c>
      <c r="G13" s="16"/>
      <c r="H13" s="16"/>
      <c r="I13" s="16"/>
      <c r="J13" s="16">
        <f>-54-J12</f>
        <v>-54</v>
      </c>
      <c r="K13" s="30">
        <f>E13+D13</f>
        <v>48.5</v>
      </c>
      <c r="L13" s="30">
        <f>AVERAGE(K10:K13)</f>
        <v>19.5</v>
      </c>
      <c r="M13" s="16">
        <f>-J13+M12</f>
        <v>-56.12</v>
      </c>
    </row>
    <row r="14" ht="21.2" customHeight="1">
      <c r="B14" s="25"/>
      <c r="C14" s="15">
        <f>426-SUM(C12:C13)</f>
        <v>139</v>
      </c>
      <c r="D14" s="16">
        <v>-6.5</v>
      </c>
      <c r="E14" s="16">
        <f>93-SUM(E12:E13)</f>
        <v>25</v>
      </c>
      <c r="F14" s="16">
        <f>-35-SUM(F12:F13)</f>
        <v>-18</v>
      </c>
      <c r="G14" s="16"/>
      <c r="H14" s="16"/>
      <c r="I14" s="16"/>
      <c r="J14" s="16">
        <f>-54-SUM(J12:J13)</f>
        <v>0</v>
      </c>
      <c r="K14" s="30">
        <f>E14+D14</f>
        <v>18.5</v>
      </c>
      <c r="L14" s="30">
        <f>AVERAGE(K11:K14)</f>
        <v>23.25</v>
      </c>
      <c r="M14" s="16">
        <f>-J14+M13</f>
        <v>-56.12</v>
      </c>
    </row>
    <row r="15" ht="21.2" customHeight="1">
      <c r="B15" s="25"/>
      <c r="C15" s="15">
        <f>575-SUM(C12:C14)</f>
        <v>149</v>
      </c>
      <c r="D15" s="16">
        <v>-6.5</v>
      </c>
      <c r="E15" s="16">
        <f>142-SUM(E12:E14)</f>
        <v>49</v>
      </c>
      <c r="F15" s="16">
        <f>-51-SUM(F12:F14)</f>
        <v>-16</v>
      </c>
      <c r="G15" s="16"/>
      <c r="H15" s="16"/>
      <c r="I15" s="16"/>
      <c r="J15" s="16">
        <f>-80-SUM(J12:J14)</f>
        <v>-26</v>
      </c>
      <c r="K15" s="30">
        <f>E15+D15</f>
        <v>42.5</v>
      </c>
      <c r="L15" s="30">
        <f>AVERAGE(K12:K15)</f>
        <v>29</v>
      </c>
      <c r="M15" s="16">
        <f>-J15+M14</f>
        <v>-30.12</v>
      </c>
    </row>
    <row r="16" ht="21.2" customHeight="1">
      <c r="B16" s="26">
        <v>2019</v>
      </c>
      <c r="C16" s="15">
        <v>132</v>
      </c>
      <c r="D16" s="16">
        <v>-3.75</v>
      </c>
      <c r="E16" s="16">
        <v>28</v>
      </c>
      <c r="F16" s="16">
        <v>-1</v>
      </c>
      <c r="G16" s="16"/>
      <c r="H16" s="16"/>
      <c r="I16" s="16"/>
      <c r="J16" s="16">
        <v>-2</v>
      </c>
      <c r="K16" s="30">
        <f>E16+D16</f>
        <v>24.25</v>
      </c>
      <c r="L16" s="30">
        <f>AVERAGE(K13:K16)</f>
        <v>33.4375</v>
      </c>
      <c r="M16" s="16">
        <f>-J16+M15</f>
        <v>-28.12</v>
      </c>
    </row>
    <row r="17" ht="21.2" customHeight="1">
      <c r="B17" s="25"/>
      <c r="C17" s="15">
        <f>291-C16</f>
        <v>159</v>
      </c>
      <c r="D17" s="16">
        <v>-3.75</v>
      </c>
      <c r="E17" s="16">
        <f>80-E16</f>
        <v>52</v>
      </c>
      <c r="F17" s="16">
        <f>4-F16</f>
        <v>5</v>
      </c>
      <c r="G17" s="16"/>
      <c r="H17" s="16"/>
      <c r="I17" s="16"/>
      <c r="J17" s="16">
        <f>-50-J16</f>
        <v>-48</v>
      </c>
      <c r="K17" s="30">
        <f>E17+D17</f>
        <v>48.25</v>
      </c>
      <c r="L17" s="30">
        <f>AVERAGE(K14:K17)</f>
        <v>33.375</v>
      </c>
      <c r="M17" s="16">
        <f>-J17+M16</f>
        <v>19.88</v>
      </c>
    </row>
    <row r="18" ht="21.2" customHeight="1">
      <c r="B18" s="25"/>
      <c r="C18" s="15">
        <f>436-SUM(C16:C17)</f>
        <v>145</v>
      </c>
      <c r="D18" s="16">
        <v>-3.75</v>
      </c>
      <c r="E18" s="16">
        <f>83-SUM(E16:E17)</f>
        <v>3</v>
      </c>
      <c r="F18" s="16">
        <f>-8-SUM(F16:F17)</f>
        <v>-12</v>
      </c>
      <c r="G18" s="16"/>
      <c r="H18" s="16"/>
      <c r="I18" s="16"/>
      <c r="J18" s="16">
        <f>-64-SUM(J16:J17)</f>
        <v>-14</v>
      </c>
      <c r="K18" s="30">
        <f>E18+D18</f>
        <v>-0.75</v>
      </c>
      <c r="L18" s="30">
        <f>AVERAGE(K15:K18)</f>
        <v>28.5625</v>
      </c>
      <c r="M18" s="16">
        <f>-J18+M17</f>
        <v>33.88</v>
      </c>
    </row>
    <row r="19" ht="21.2" customHeight="1">
      <c r="B19" s="25"/>
      <c r="C19" s="15">
        <f>585-SUM(C16:C18)</f>
        <v>149</v>
      </c>
      <c r="D19" s="16">
        <v>-3.75</v>
      </c>
      <c r="E19" s="16">
        <f>126-SUM(E16:E18)</f>
        <v>43</v>
      </c>
      <c r="F19" s="16">
        <f>51-SUM(F16:F18)</f>
        <v>59</v>
      </c>
      <c r="G19" s="16"/>
      <c r="H19" s="16"/>
      <c r="I19" s="16"/>
      <c r="J19" s="16">
        <f>-94-SUM(J16:J18)</f>
        <v>-30</v>
      </c>
      <c r="K19" s="30">
        <f>E19+D19</f>
        <v>39.25</v>
      </c>
      <c r="L19" s="30">
        <f>AVERAGE(K16:K19)</f>
        <v>27.75</v>
      </c>
      <c r="M19" s="16">
        <f>-J19+M18</f>
        <v>63.88</v>
      </c>
    </row>
    <row r="20" ht="21.2" customHeight="1">
      <c r="B20" s="26">
        <v>2020</v>
      </c>
      <c r="C20" s="15">
        <v>133</v>
      </c>
      <c r="D20" s="16">
        <v>-4.75</v>
      </c>
      <c r="E20" s="16">
        <v>26</v>
      </c>
      <c r="F20" s="16">
        <v>-14</v>
      </c>
      <c r="G20" s="16"/>
      <c r="H20" s="16"/>
      <c r="I20" s="16">
        <v>-1</v>
      </c>
      <c r="J20" s="16">
        <v>-1</v>
      </c>
      <c r="K20" s="30">
        <f>E20+D20</f>
        <v>21.25</v>
      </c>
      <c r="L20" s="30">
        <f>AVERAGE(K17:K20)</f>
        <v>27</v>
      </c>
      <c r="M20" s="16">
        <f>-J20+M19</f>
        <v>64.88</v>
      </c>
    </row>
    <row r="21" ht="21.2" customHeight="1">
      <c r="B21" s="25"/>
      <c r="C21" s="15">
        <f>260-C20</f>
        <v>127</v>
      </c>
      <c r="D21" s="16">
        <v>-4.75</v>
      </c>
      <c r="E21" s="16">
        <f>83-E20</f>
        <v>57</v>
      </c>
      <c r="F21" s="16">
        <f>-11-F20</f>
        <v>3</v>
      </c>
      <c r="G21" s="16"/>
      <c r="H21" s="16"/>
      <c r="I21" s="16">
        <v>-0.3</v>
      </c>
      <c r="J21" s="16">
        <f>-1-J20</f>
        <v>0</v>
      </c>
      <c r="K21" s="30">
        <f>E21+D21</f>
        <v>52.25</v>
      </c>
      <c r="L21" s="30">
        <f>AVERAGE(K18:K21)</f>
        <v>28</v>
      </c>
      <c r="M21" s="16">
        <f>-J21+M20</f>
        <v>64.88</v>
      </c>
    </row>
    <row r="22" ht="21.2" customHeight="1">
      <c r="B22" s="25"/>
      <c r="C22" s="15">
        <f>363-SUM(C20:C21)</f>
        <v>103</v>
      </c>
      <c r="D22" s="16">
        <v>-4.75</v>
      </c>
      <c r="E22" s="16">
        <f>109-SUM(E20:E21)</f>
        <v>26</v>
      </c>
      <c r="F22" s="16">
        <f>-15-SUM(F20:F21)</f>
        <v>-4</v>
      </c>
      <c r="G22" s="16"/>
      <c r="H22" s="16">
        <v>0</v>
      </c>
      <c r="I22" s="16">
        <v>-44.7</v>
      </c>
      <c r="J22" s="16">
        <f>-46-SUM(J20:J21)</f>
        <v>-45</v>
      </c>
      <c r="K22" s="30">
        <f>E22+D22+G22</f>
        <v>21.25</v>
      </c>
      <c r="L22" s="30">
        <f>AVERAGE(K19:K22)</f>
        <v>33.5</v>
      </c>
      <c r="M22" s="16">
        <f>-J22+M21</f>
        <v>109.88</v>
      </c>
    </row>
    <row r="23" ht="21.2" customHeight="1">
      <c r="B23" s="25"/>
      <c r="C23" s="15">
        <f>482.7-SUM(C20:C22)</f>
        <v>119.7</v>
      </c>
      <c r="D23" s="16">
        <v>-4.75</v>
      </c>
      <c r="E23" s="16">
        <f>169.8-SUM(E20:E22)</f>
        <v>60.8</v>
      </c>
      <c r="F23" s="16">
        <f>-72.5-SUM(F20:F22)</f>
        <v>-57.5</v>
      </c>
      <c r="G23" s="16"/>
      <c r="H23" s="16"/>
      <c r="I23" s="16"/>
      <c r="J23" s="16">
        <f>-66.1-SUM(J20:J22)</f>
        <v>-20.1</v>
      </c>
      <c r="K23" s="30">
        <f>E23+D23+G23</f>
        <v>56.05</v>
      </c>
      <c r="L23" s="30">
        <f>AVERAGE(K20:K23)</f>
        <v>37.7</v>
      </c>
      <c r="M23" s="16">
        <f>-J23+M22</f>
        <v>129.98</v>
      </c>
    </row>
    <row r="24" ht="21.2" customHeight="1">
      <c r="B24" s="26">
        <v>2021</v>
      </c>
      <c r="C24" s="15">
        <v>129.1</v>
      </c>
      <c r="D24" s="16">
        <v>-2</v>
      </c>
      <c r="E24" s="16">
        <v>38.9</v>
      </c>
      <c r="F24" s="16">
        <v>10.9</v>
      </c>
      <c r="G24" s="16">
        <v>-0.57</v>
      </c>
      <c r="H24" s="16">
        <v>0</v>
      </c>
      <c r="I24" s="16">
        <v>0</v>
      </c>
      <c r="J24" s="16">
        <v>-0.6</v>
      </c>
      <c r="K24" s="30">
        <f>E24+D24+G24</f>
        <v>36.33</v>
      </c>
      <c r="L24" s="30">
        <f>AVERAGE(K21:K24)</f>
        <v>41.47</v>
      </c>
      <c r="M24" s="16">
        <f>-(J24-G24)+M23</f>
        <v>130.01</v>
      </c>
    </row>
    <row r="25" ht="21.2" customHeight="1">
      <c r="B25" s="25"/>
      <c r="C25" s="15">
        <f>256.2-C24</f>
        <v>127.1</v>
      </c>
      <c r="D25" s="16">
        <v>-2</v>
      </c>
      <c r="E25" s="16">
        <f>60.6-E24</f>
        <v>21.7</v>
      </c>
      <c r="F25" s="16">
        <f>-22.1-F24</f>
        <v>-33</v>
      </c>
      <c r="G25" s="16">
        <v>-0.29</v>
      </c>
      <c r="H25" s="16">
        <v>0</v>
      </c>
      <c r="I25" s="16">
        <v>-40.6</v>
      </c>
      <c r="J25" s="16">
        <f>-41.5-J24</f>
        <v>-40.9</v>
      </c>
      <c r="K25" s="30">
        <f>E25+D25+G25</f>
        <v>19.41</v>
      </c>
      <c r="L25" s="30">
        <f>AVERAGE(K22:K25)</f>
        <v>33.26</v>
      </c>
      <c r="M25" s="16">
        <f>-(J25-G25)+M24</f>
        <v>170.62</v>
      </c>
    </row>
    <row r="26" ht="21.2" customHeight="1">
      <c r="B26" s="25"/>
      <c r="C26" s="15">
        <f>385.2-SUM(C24:C25)</f>
        <v>129</v>
      </c>
      <c r="D26" s="16">
        <f>-7.1-1.6-D25-D24</f>
        <v>-4.7</v>
      </c>
      <c r="E26" s="16">
        <f>102.5-SUM(E24:E25)</f>
        <v>41.9</v>
      </c>
      <c r="F26" s="16">
        <f>-5.3-SUM(F24:F25)</f>
        <v>16.8</v>
      </c>
      <c r="G26" s="16">
        <v>-0.84</v>
      </c>
      <c r="H26" s="18"/>
      <c r="I26" s="16">
        <v>0</v>
      </c>
      <c r="J26" s="16">
        <f>-42.3-SUM(J24:J25)</f>
        <v>-0.8</v>
      </c>
      <c r="K26" s="30">
        <f>E26+D26+G26</f>
        <v>36.36</v>
      </c>
      <c r="L26" s="30">
        <f>AVERAGE(K23:K26)</f>
        <v>37.0375</v>
      </c>
      <c r="M26" s="16">
        <f>-(J26-G26)+M25</f>
        <v>170.58</v>
      </c>
    </row>
    <row r="27" ht="21.2" customHeight="1">
      <c r="B27" s="25"/>
      <c r="C27" s="15"/>
      <c r="D27" s="16"/>
      <c r="E27" s="16"/>
      <c r="F27" s="16"/>
      <c r="G27" s="16"/>
      <c r="H27" s="16"/>
      <c r="I27" s="16"/>
      <c r="J27" s="16"/>
      <c r="K27" s="30"/>
      <c r="L27" s="30">
        <f>SUM('Model'!F9:F10)</f>
        <v>38.2779196</v>
      </c>
      <c r="M27" s="16">
        <f>'Model'!F33</f>
        <v>314.0475116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1" customWidth="1"/>
    <col min="2" max="11" width="9.21875" style="31" customWidth="1"/>
    <col min="12" max="16384" width="16.3516" style="31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51</v>
      </c>
      <c r="D3" t="s" s="4">
        <v>52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53</v>
      </c>
      <c r="J3" t="s" s="4">
        <v>25</v>
      </c>
      <c r="K3" t="s" s="4">
        <v>33</v>
      </c>
    </row>
    <row r="4" ht="20.25" customHeight="1">
      <c r="B4" s="22">
        <v>2016</v>
      </c>
      <c r="C4" s="23">
        <v>50</v>
      </c>
      <c r="D4" s="24">
        <v>1057</v>
      </c>
      <c r="E4" s="24">
        <f>D4-C4</f>
        <v>1007</v>
      </c>
      <c r="F4" s="24">
        <f>F5-'Sales'!E5</f>
        <v>572.025000000001</v>
      </c>
      <c r="G4" s="24">
        <v>636</v>
      </c>
      <c r="H4" s="24">
        <v>421</v>
      </c>
      <c r="I4" s="24">
        <f>G4+H4-C4-E4</f>
        <v>0</v>
      </c>
      <c r="J4" s="24">
        <f>C4-G4</f>
        <v>-586</v>
      </c>
      <c r="K4" s="24"/>
    </row>
    <row r="5" ht="20.05" customHeight="1">
      <c r="B5" s="25"/>
      <c r="C5" s="15">
        <v>226</v>
      </c>
      <c r="D5" s="16">
        <v>1262</v>
      </c>
      <c r="E5" s="16">
        <f>D5-C5</f>
        <v>1036</v>
      </c>
      <c r="F5" s="16">
        <f>F6-'Sales'!E6</f>
        <v>581.850000000001</v>
      </c>
      <c r="G5" s="16">
        <v>646</v>
      </c>
      <c r="H5" s="16">
        <v>616</v>
      </c>
      <c r="I5" s="16">
        <f>G5+H5-C5-E5</f>
        <v>0</v>
      </c>
      <c r="J5" s="16">
        <f>C5-G5</f>
        <v>-420</v>
      </c>
      <c r="K5" s="16"/>
    </row>
    <row r="6" ht="20.05" customHeight="1">
      <c r="B6" s="25"/>
      <c r="C6" s="15">
        <v>765</v>
      </c>
      <c r="D6" s="16">
        <v>1827</v>
      </c>
      <c r="E6" s="16">
        <f>D6-C6</f>
        <v>1062</v>
      </c>
      <c r="F6" s="16">
        <f>F7-'Sales'!E7</f>
        <v>591.675000000001</v>
      </c>
      <c r="G6" s="16">
        <v>1207</v>
      </c>
      <c r="H6" s="16">
        <v>620</v>
      </c>
      <c r="I6" s="16">
        <f>G6+H6-C6-E6</f>
        <v>0</v>
      </c>
      <c r="J6" s="16">
        <f>C6-G6</f>
        <v>-442</v>
      </c>
      <c r="K6" s="16"/>
    </row>
    <row r="7" ht="20.05" customHeight="1">
      <c r="B7" s="25"/>
      <c r="C7" s="15">
        <v>222</v>
      </c>
      <c r="D7" s="16">
        <v>1271</v>
      </c>
      <c r="E7" s="16">
        <f>D7-C7</f>
        <v>1049</v>
      </c>
      <c r="F7" s="16">
        <f>F8-'Sales'!E8</f>
        <v>601.500000000001</v>
      </c>
      <c r="G7" s="16">
        <v>667</v>
      </c>
      <c r="H7" s="16">
        <v>604</v>
      </c>
      <c r="I7" s="16">
        <f>G7+H7-C7-E7</f>
        <v>0</v>
      </c>
      <c r="J7" s="16">
        <f>C7-G7</f>
        <v>-445</v>
      </c>
      <c r="K7" s="16"/>
    </row>
    <row r="8" ht="20.05" customHeight="1">
      <c r="B8" s="26">
        <v>2017</v>
      </c>
      <c r="C8" s="15">
        <v>234</v>
      </c>
      <c r="D8" s="16">
        <v>1297</v>
      </c>
      <c r="E8" s="16">
        <f>D8-C8</f>
        <v>1063</v>
      </c>
      <c r="F8" s="16">
        <f>F9-'Sales'!E9</f>
        <v>611.475000000001</v>
      </c>
      <c r="G8" s="16">
        <v>666</v>
      </c>
      <c r="H8" s="16">
        <v>631</v>
      </c>
      <c r="I8" s="16">
        <f>G8+H8-C8-E8</f>
        <v>0</v>
      </c>
      <c r="J8" s="16">
        <f>C8-G8</f>
        <v>-432</v>
      </c>
      <c r="K8" s="16"/>
    </row>
    <row r="9" ht="20.05" customHeight="1">
      <c r="B9" s="25"/>
      <c r="C9" s="15">
        <v>196</v>
      </c>
      <c r="D9" s="16">
        <v>1281</v>
      </c>
      <c r="E9" s="16">
        <f>D9-C9</f>
        <v>1085</v>
      </c>
      <c r="F9" s="16">
        <f>F10-'Sales'!E10</f>
        <v>621.450000000001</v>
      </c>
      <c r="G9" s="16">
        <v>678</v>
      </c>
      <c r="H9" s="16">
        <v>603</v>
      </c>
      <c r="I9" s="16">
        <f>G9+H9-C9-E9</f>
        <v>0</v>
      </c>
      <c r="J9" s="16">
        <f>C9-G9</f>
        <v>-482</v>
      </c>
      <c r="K9" s="16"/>
    </row>
    <row r="10" ht="20.05" customHeight="1">
      <c r="B10" s="25"/>
      <c r="C10" s="15">
        <v>204</v>
      </c>
      <c r="D10" s="16">
        <v>1297</v>
      </c>
      <c r="E10" s="16">
        <f>D10-C10</f>
        <v>1093</v>
      </c>
      <c r="F10" s="16">
        <f>F11-'Sales'!E11</f>
        <v>631.425000000001</v>
      </c>
      <c r="G10" s="16">
        <v>671</v>
      </c>
      <c r="H10" s="16">
        <v>626</v>
      </c>
      <c r="I10" s="16">
        <f>G10+H10-C10-E10</f>
        <v>0</v>
      </c>
      <c r="J10" s="16">
        <f>C10-G10</f>
        <v>-467</v>
      </c>
      <c r="K10" s="16"/>
    </row>
    <row r="11" ht="20.05" customHeight="1">
      <c r="B11" s="25"/>
      <c r="C11" s="15">
        <v>150</v>
      </c>
      <c r="D11" s="16">
        <v>1323</v>
      </c>
      <c r="E11" s="16">
        <f>D11-C11</f>
        <v>1173</v>
      </c>
      <c r="F11" s="16">
        <f>F12-'Sales'!E12</f>
        <v>641.400000000001</v>
      </c>
      <c r="G11" s="16">
        <v>683</v>
      </c>
      <c r="H11" s="16">
        <v>640</v>
      </c>
      <c r="I11" s="16">
        <f>G11+H11-C11-E11</f>
        <v>0</v>
      </c>
      <c r="J11" s="16">
        <f>C11-G11</f>
        <v>-533</v>
      </c>
      <c r="K11" s="16"/>
    </row>
    <row r="12" ht="20.05" customHeight="1">
      <c r="B12" s="26">
        <v>2018</v>
      </c>
      <c r="C12" s="15">
        <v>200</v>
      </c>
      <c r="D12" s="16">
        <v>1329</v>
      </c>
      <c r="E12" s="16">
        <f>D12-C12</f>
        <v>1129</v>
      </c>
      <c r="F12" s="16">
        <f>F13-'Sales'!E13</f>
        <v>656.100000000001</v>
      </c>
      <c r="G12" s="16">
        <v>666</v>
      </c>
      <c r="H12" s="16">
        <v>663</v>
      </c>
      <c r="I12" s="16">
        <f>G12+H12-C12-E12</f>
        <v>0</v>
      </c>
      <c r="J12" s="16">
        <f>C12-G12</f>
        <v>-466</v>
      </c>
      <c r="K12" s="16"/>
    </row>
    <row r="13" ht="20.05" customHeight="1">
      <c r="B13" s="25"/>
      <c r="C13" s="15">
        <v>192</v>
      </c>
      <c r="D13" s="16">
        <v>1291</v>
      </c>
      <c r="E13" s="16">
        <f>D13-C13</f>
        <v>1099</v>
      </c>
      <c r="F13" s="16">
        <f>F14-'Sales'!E14</f>
        <v>670.800000000001</v>
      </c>
      <c r="G13" s="16">
        <v>664</v>
      </c>
      <c r="H13" s="16">
        <v>627</v>
      </c>
      <c r="I13" s="16">
        <f>G13+H13-C13-E13</f>
        <v>0</v>
      </c>
      <c r="J13" s="16">
        <f>C13-G13</f>
        <v>-472</v>
      </c>
      <c r="K13" s="16"/>
    </row>
    <row r="14" ht="20.05" customHeight="1">
      <c r="B14" s="25"/>
      <c r="C14" s="15">
        <v>210</v>
      </c>
      <c r="D14" s="16">
        <v>1307</v>
      </c>
      <c r="E14" s="16">
        <f>D14-C14</f>
        <v>1097</v>
      </c>
      <c r="F14" s="16">
        <f>F15-'Sales'!E15</f>
        <v>685.500000000001</v>
      </c>
      <c r="G14" s="16">
        <v>660</v>
      </c>
      <c r="H14" s="16">
        <v>647</v>
      </c>
      <c r="I14" s="16">
        <f>G14+H14-C14-E14</f>
        <v>0</v>
      </c>
      <c r="J14" s="16">
        <f>C14-G14</f>
        <v>-450</v>
      </c>
      <c r="K14" s="16"/>
    </row>
    <row r="15" ht="20.05" customHeight="1">
      <c r="B15" s="25"/>
      <c r="C15" s="15">
        <v>156</v>
      </c>
      <c r="D15" s="16">
        <v>1309</v>
      </c>
      <c r="E15" s="16">
        <f>D15-C15</f>
        <v>1153</v>
      </c>
      <c r="F15" s="16">
        <f>F16-'Sales'!E16</f>
        <v>700.200000000001</v>
      </c>
      <c r="G15" s="16">
        <v>669</v>
      </c>
      <c r="H15" s="16">
        <v>640</v>
      </c>
      <c r="I15" s="16">
        <f>G15+H15-C15-E15</f>
        <v>0</v>
      </c>
      <c r="J15" s="16">
        <f>C15-G15</f>
        <v>-513</v>
      </c>
      <c r="K15" s="16"/>
    </row>
    <row r="16" ht="20.05" customHeight="1">
      <c r="B16" s="26">
        <v>2019</v>
      </c>
      <c r="C16" s="15">
        <v>183</v>
      </c>
      <c r="D16" s="16">
        <v>1335</v>
      </c>
      <c r="E16" s="16">
        <f>D16-C16</f>
        <v>1152</v>
      </c>
      <c r="F16" s="16">
        <f>F17-'Sales'!E17</f>
        <v>715.250000000001</v>
      </c>
      <c r="G16" s="16">
        <v>669</v>
      </c>
      <c r="H16" s="16">
        <v>666</v>
      </c>
      <c r="I16" s="16">
        <f>G16+H16-C16-E16</f>
        <v>0</v>
      </c>
      <c r="J16" s="16">
        <f>C16-G16</f>
        <v>-486</v>
      </c>
      <c r="K16" s="16"/>
    </row>
    <row r="17" ht="20.05" customHeight="1">
      <c r="B17" s="25"/>
      <c r="C17" s="15">
        <v>192</v>
      </c>
      <c r="D17" s="16">
        <v>1309</v>
      </c>
      <c r="E17" s="16">
        <f>D17-C17</f>
        <v>1117</v>
      </c>
      <c r="F17" s="16">
        <f>F18-'Sales'!E18</f>
        <v>730.300000000001</v>
      </c>
      <c r="G17" s="16">
        <v>664</v>
      </c>
      <c r="H17" s="16">
        <v>645</v>
      </c>
      <c r="I17" s="16">
        <f>G17+H17-C17-E17</f>
        <v>0</v>
      </c>
      <c r="J17" s="16">
        <f>C17-G17</f>
        <v>-472</v>
      </c>
      <c r="K17" s="16"/>
    </row>
    <row r="18" ht="20.05" customHeight="1">
      <c r="B18" s="25"/>
      <c r="C18" s="15">
        <v>168</v>
      </c>
      <c r="D18" s="16">
        <v>1319</v>
      </c>
      <c r="E18" s="16">
        <f>D18-C18</f>
        <v>1151</v>
      </c>
      <c r="F18" s="16">
        <f>F19-'Sales'!E19</f>
        <v>745.350000000001</v>
      </c>
      <c r="G18" s="16">
        <v>664</v>
      </c>
      <c r="H18" s="16">
        <v>655</v>
      </c>
      <c r="I18" s="16">
        <f>G18+H18-C18-E18</f>
        <v>0</v>
      </c>
      <c r="J18" s="16">
        <f>C18-G18</f>
        <v>-496</v>
      </c>
      <c r="K18" s="16"/>
    </row>
    <row r="19" ht="20.05" customHeight="1">
      <c r="B19" s="25"/>
      <c r="C19" s="15">
        <v>243</v>
      </c>
      <c r="D19" s="16">
        <v>1325</v>
      </c>
      <c r="E19" s="16">
        <f>D19-C19</f>
        <v>1082</v>
      </c>
      <c r="F19" s="16">
        <f>F20-'Sales'!E20</f>
        <v>760.400000000001</v>
      </c>
      <c r="G19" s="16">
        <v>665</v>
      </c>
      <c r="H19" s="16">
        <v>660</v>
      </c>
      <c r="I19" s="16">
        <f>G19+H19-C19-E19</f>
        <v>0</v>
      </c>
      <c r="J19" s="16">
        <f>C19-G19</f>
        <v>-422</v>
      </c>
      <c r="K19" s="16"/>
    </row>
    <row r="20" ht="20.05" customHeight="1">
      <c r="B20" s="26">
        <v>2020</v>
      </c>
      <c r="C20" s="15">
        <v>241</v>
      </c>
      <c r="D20" s="16">
        <v>1297</v>
      </c>
      <c r="E20" s="16">
        <f>D20-C20</f>
        <v>1056</v>
      </c>
      <c r="F20" s="16">
        <f>F21-'Sales'!E21</f>
        <v>773.933333333334</v>
      </c>
      <c r="G20" s="16">
        <v>636</v>
      </c>
      <c r="H20" s="16">
        <v>661</v>
      </c>
      <c r="I20" s="16">
        <f>G20+H20-C20-E20</f>
        <v>0</v>
      </c>
      <c r="J20" s="16">
        <f>C20-G20</f>
        <v>-395</v>
      </c>
      <c r="K20" s="16"/>
    </row>
    <row r="21" ht="20.05" customHeight="1">
      <c r="B21" s="25"/>
      <c r="C21" s="15">
        <v>310</v>
      </c>
      <c r="D21" s="16">
        <v>1347</v>
      </c>
      <c r="E21" s="16">
        <f>D21-C21</f>
        <v>1037</v>
      </c>
      <c r="F21" s="16">
        <f>F22-'Sales'!E22</f>
        <v>787.466666666667</v>
      </c>
      <c r="G21" s="16">
        <v>652</v>
      </c>
      <c r="H21" s="16">
        <v>695</v>
      </c>
      <c r="I21" s="16">
        <f>G21+H21-C21-E21</f>
        <v>0</v>
      </c>
      <c r="J21" s="16">
        <f>C21-G21</f>
        <v>-342</v>
      </c>
      <c r="K21" s="16"/>
    </row>
    <row r="22" ht="20.05" customHeight="1">
      <c r="B22" s="25"/>
      <c r="C22" s="15">
        <v>283</v>
      </c>
      <c r="D22" s="16">
        <v>1310</v>
      </c>
      <c r="E22" s="16">
        <f>D22-C22</f>
        <v>1027</v>
      </c>
      <c r="F22" s="16">
        <f>1+800</f>
        <v>801</v>
      </c>
      <c r="G22" s="16">
        <v>648</v>
      </c>
      <c r="H22" s="16">
        <v>662</v>
      </c>
      <c r="I22" s="16">
        <f>G22+H22-C22-E22</f>
        <v>0</v>
      </c>
      <c r="J22" s="16">
        <f>C22-G22</f>
        <v>-365</v>
      </c>
      <c r="K22" s="16"/>
    </row>
    <row r="23" ht="20.05" customHeight="1">
      <c r="B23" s="25"/>
      <c r="C23" s="15">
        <v>272</v>
      </c>
      <c r="D23" s="16">
        <v>1343</v>
      </c>
      <c r="E23" s="16">
        <f>D23-C23</f>
        <v>1071</v>
      </c>
      <c r="F23" s="16">
        <f>1+813</f>
        <v>814</v>
      </c>
      <c r="G23" s="16">
        <v>672</v>
      </c>
      <c r="H23" s="16">
        <v>671</v>
      </c>
      <c r="I23" s="16">
        <f>G23+H23-C23-E23</f>
        <v>0</v>
      </c>
      <c r="J23" s="16">
        <f>C23-G23</f>
        <v>-400</v>
      </c>
      <c r="K23" s="16"/>
    </row>
    <row r="24" ht="20.05" customHeight="1">
      <c r="B24" s="26">
        <v>2021</v>
      </c>
      <c r="C24" s="15">
        <v>319</v>
      </c>
      <c r="D24" s="16">
        <v>1350</v>
      </c>
      <c r="E24" s="16">
        <f>D24-C24</f>
        <v>1031</v>
      </c>
      <c r="F24" s="16">
        <f>1+827</f>
        <v>828</v>
      </c>
      <c r="G24" s="16">
        <v>660</v>
      </c>
      <c r="H24" s="16">
        <v>690</v>
      </c>
      <c r="I24" s="16">
        <f>G24+H24-C24-E24</f>
        <v>0</v>
      </c>
      <c r="J24" s="16">
        <f>C24-G24</f>
        <v>-341</v>
      </c>
      <c r="K24" s="16"/>
    </row>
    <row r="25" ht="20.05" customHeight="1">
      <c r="B25" s="25"/>
      <c r="C25" s="15">
        <v>267</v>
      </c>
      <c r="D25" s="16">
        <v>1335</v>
      </c>
      <c r="E25" s="16">
        <f>D25-C25</f>
        <v>1068</v>
      </c>
      <c r="F25" s="16">
        <f>1+840</f>
        <v>841</v>
      </c>
      <c r="G25" s="16">
        <v>665</v>
      </c>
      <c r="H25" s="16">
        <v>670</v>
      </c>
      <c r="I25" s="16">
        <f>G25+H25-C25-E25</f>
        <v>0</v>
      </c>
      <c r="J25" s="16">
        <f>C25-G25</f>
        <v>-398</v>
      </c>
      <c r="K25" s="16"/>
    </row>
    <row r="26" ht="20.05" customHeight="1">
      <c r="B26" s="25"/>
      <c r="C26" s="15">
        <v>326</v>
      </c>
      <c r="D26" s="16">
        <v>1366</v>
      </c>
      <c r="E26" s="16">
        <f>D26-C26</f>
        <v>1040</v>
      </c>
      <c r="F26" s="16">
        <f>2+853</f>
        <v>855</v>
      </c>
      <c r="G26" s="16">
        <v>670</v>
      </c>
      <c r="H26" s="16">
        <v>696</v>
      </c>
      <c r="I26" s="16">
        <f>G26+H26-C26-E26</f>
        <v>0</v>
      </c>
      <c r="J26" s="16">
        <f>C26-G26</f>
        <v>-344</v>
      </c>
      <c r="K26" s="16">
        <f>J26</f>
        <v>-344</v>
      </c>
    </row>
    <row r="27" ht="20.05" customHeight="1">
      <c r="B27" s="25"/>
      <c r="C27" s="15"/>
      <c r="D27" s="16"/>
      <c r="E27" s="16">
        <f>D27-C27</f>
        <v>0</v>
      </c>
      <c r="F27" s="16"/>
      <c r="G27" s="16"/>
      <c r="H27" s="16"/>
      <c r="I27" s="16"/>
      <c r="J27" s="16"/>
      <c r="K27" s="16">
        <f>'Model'!F30</f>
        <v>-256.4662442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2" customWidth="1"/>
    <col min="2" max="4" width="9.9375" style="32" customWidth="1"/>
    <col min="5" max="16384" width="16.3516" style="32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5"/>
      <c r="C3" t="s" s="33">
        <v>55</v>
      </c>
      <c r="D3" t="s" s="33">
        <v>56</v>
      </c>
    </row>
    <row r="4" ht="20.25" customHeight="1">
      <c r="B4" s="22">
        <v>2016</v>
      </c>
      <c r="C4" s="34"/>
      <c r="D4" s="35"/>
    </row>
    <row r="5" ht="20.05" customHeight="1">
      <c r="B5" s="25"/>
      <c r="C5" s="36"/>
      <c r="D5" s="37"/>
    </row>
    <row r="6" ht="20.05" customHeight="1">
      <c r="B6" s="25"/>
      <c r="C6" s="36"/>
      <c r="D6" s="37"/>
    </row>
    <row r="7" ht="20.05" customHeight="1">
      <c r="B7" s="25"/>
      <c r="C7" s="36"/>
      <c r="D7" s="37"/>
    </row>
    <row r="8" ht="20.05" customHeight="1">
      <c r="B8" s="25"/>
      <c r="C8" s="36"/>
      <c r="D8" s="37"/>
    </row>
    <row r="9" ht="20.05" customHeight="1">
      <c r="B9" s="25"/>
      <c r="C9" s="36"/>
      <c r="D9" s="37"/>
    </row>
    <row r="10" ht="20.05" customHeight="1">
      <c r="B10" s="25"/>
      <c r="C10" s="38">
        <v>1500</v>
      </c>
      <c r="D10" s="37"/>
    </row>
    <row r="11" ht="20.05" customHeight="1">
      <c r="B11" s="25"/>
      <c r="C11" s="38">
        <v>1500</v>
      </c>
      <c r="D11" s="37"/>
    </row>
    <row r="12" ht="20.05" customHeight="1">
      <c r="B12" s="25"/>
      <c r="C12" s="38">
        <v>1490</v>
      </c>
      <c r="D12" s="37"/>
    </row>
    <row r="13" ht="20.05" customHeight="1">
      <c r="B13" s="25"/>
      <c r="C13" s="38">
        <v>1500</v>
      </c>
      <c r="D13" s="37"/>
    </row>
    <row r="14" ht="20.05" customHeight="1">
      <c r="B14" s="25"/>
      <c r="C14" s="38">
        <v>1500</v>
      </c>
      <c r="D14" s="37"/>
    </row>
    <row r="15" ht="20.05" customHeight="1">
      <c r="B15" s="25"/>
      <c r="C15" s="38">
        <v>1285</v>
      </c>
      <c r="D15" s="37"/>
    </row>
    <row r="16" ht="20.05" customHeight="1">
      <c r="B16" s="26">
        <v>2017</v>
      </c>
      <c r="C16" s="38">
        <v>1280</v>
      </c>
      <c r="D16" s="37"/>
    </row>
    <row r="17" ht="20.05" customHeight="1">
      <c r="B17" s="25"/>
      <c r="C17" s="38">
        <v>1275</v>
      </c>
      <c r="D17" s="37"/>
    </row>
    <row r="18" ht="20.05" customHeight="1">
      <c r="B18" s="25"/>
      <c r="C18" s="38">
        <v>1300</v>
      </c>
      <c r="D18" s="37"/>
    </row>
    <row r="19" ht="20.05" customHeight="1">
      <c r="B19" s="25"/>
      <c r="C19" s="38">
        <v>1290</v>
      </c>
      <c r="D19" s="37"/>
    </row>
    <row r="20" ht="20.05" customHeight="1">
      <c r="B20" s="25"/>
      <c r="C20" s="38">
        <v>1185</v>
      </c>
      <c r="D20" s="37"/>
    </row>
    <row r="21" ht="20.05" customHeight="1">
      <c r="B21" s="25"/>
      <c r="C21" s="38">
        <v>1200</v>
      </c>
      <c r="D21" s="37"/>
    </row>
    <row r="22" ht="20.05" customHeight="1">
      <c r="B22" s="25"/>
      <c r="C22" s="38">
        <v>1080</v>
      </c>
      <c r="D22" s="37"/>
    </row>
    <row r="23" ht="20.05" customHeight="1">
      <c r="B23" s="25"/>
      <c r="C23" s="38">
        <v>1125</v>
      </c>
      <c r="D23" s="37"/>
    </row>
    <row r="24" ht="20.05" customHeight="1">
      <c r="B24" s="25"/>
      <c r="C24" s="38">
        <v>1125</v>
      </c>
      <c r="D24" s="37"/>
    </row>
    <row r="25" ht="20.05" customHeight="1">
      <c r="B25" s="25"/>
      <c r="C25" s="38">
        <v>1095</v>
      </c>
      <c r="D25" s="37"/>
    </row>
    <row r="26" ht="20.05" customHeight="1">
      <c r="B26" s="25"/>
      <c r="C26" s="38">
        <v>1160</v>
      </c>
      <c r="D26" s="37"/>
    </row>
    <row r="27" ht="20.05" customHeight="1">
      <c r="B27" s="25"/>
      <c r="C27" s="38">
        <v>1300</v>
      </c>
      <c r="D27" s="37"/>
    </row>
    <row r="28" ht="20.05" customHeight="1">
      <c r="B28" s="26">
        <v>2018</v>
      </c>
      <c r="C28" s="38">
        <v>1200</v>
      </c>
      <c r="D28" s="37"/>
    </row>
    <row r="29" ht="20.05" customHeight="1">
      <c r="B29" s="25"/>
      <c r="C29" s="38">
        <v>1150</v>
      </c>
      <c r="D29" s="37"/>
    </row>
    <row r="30" ht="20.05" customHeight="1">
      <c r="B30" s="25"/>
      <c r="C30" s="38">
        <v>1150</v>
      </c>
      <c r="D30" s="37"/>
    </row>
    <row r="31" ht="20.05" customHeight="1">
      <c r="B31" s="25"/>
      <c r="C31" s="38">
        <v>1140</v>
      </c>
      <c r="D31" s="37"/>
    </row>
    <row r="32" ht="20.05" customHeight="1">
      <c r="B32" s="25"/>
      <c r="C32" s="38">
        <v>1085</v>
      </c>
      <c r="D32" s="37"/>
    </row>
    <row r="33" ht="20.05" customHeight="1">
      <c r="B33" s="25"/>
      <c r="C33" s="38">
        <v>1180</v>
      </c>
      <c r="D33" s="37"/>
    </row>
    <row r="34" ht="20.05" customHeight="1">
      <c r="B34" s="25"/>
      <c r="C34" s="38">
        <v>1020</v>
      </c>
      <c r="D34" s="37"/>
    </row>
    <row r="35" ht="20.05" customHeight="1">
      <c r="B35" s="25"/>
      <c r="C35" s="39">
        <v>990</v>
      </c>
      <c r="D35" s="37"/>
    </row>
    <row r="36" ht="20.05" customHeight="1">
      <c r="B36" s="25"/>
      <c r="C36" s="39">
        <v>950</v>
      </c>
      <c r="D36" s="37"/>
    </row>
    <row r="37" ht="20.05" customHeight="1">
      <c r="B37" s="25"/>
      <c r="C37" s="39">
        <v>895</v>
      </c>
      <c r="D37" s="37"/>
    </row>
    <row r="38" ht="20.05" customHeight="1">
      <c r="B38" s="25"/>
      <c r="C38" s="39">
        <v>880</v>
      </c>
      <c r="D38" s="37"/>
    </row>
    <row r="39" ht="20.05" customHeight="1">
      <c r="B39" s="25"/>
      <c r="C39" s="39">
        <v>890</v>
      </c>
      <c r="D39" s="37"/>
    </row>
    <row r="40" ht="20.05" customHeight="1">
      <c r="B40" s="26">
        <v>2019</v>
      </c>
      <c r="C40" s="39">
        <v>840</v>
      </c>
      <c r="D40" s="37"/>
    </row>
    <row r="41" ht="20.05" customHeight="1">
      <c r="B41" s="25"/>
      <c r="C41" s="39">
        <v>975</v>
      </c>
      <c r="D41" s="37"/>
    </row>
    <row r="42" ht="20.05" customHeight="1">
      <c r="B42" s="25"/>
      <c r="C42" s="39">
        <v>945</v>
      </c>
      <c r="D42" s="37"/>
    </row>
    <row r="43" ht="20.05" customHeight="1">
      <c r="B43" s="25"/>
      <c r="C43" s="39">
        <v>925</v>
      </c>
      <c r="D43" s="37"/>
    </row>
    <row r="44" ht="20.05" customHeight="1">
      <c r="B44" s="25"/>
      <c r="C44" s="39">
        <v>895</v>
      </c>
      <c r="D44" s="37"/>
    </row>
    <row r="45" ht="20.05" customHeight="1">
      <c r="B45" s="25"/>
      <c r="C45" s="39">
        <v>870</v>
      </c>
      <c r="D45" s="37"/>
    </row>
    <row r="46" ht="20.05" customHeight="1">
      <c r="B46" s="25"/>
      <c r="C46" s="39">
        <v>890</v>
      </c>
      <c r="D46" s="37"/>
    </row>
    <row r="47" ht="20.05" customHeight="1">
      <c r="B47" s="25"/>
      <c r="C47" s="38">
        <v>1045</v>
      </c>
      <c r="D47" s="37"/>
    </row>
    <row r="48" ht="20.05" customHeight="1">
      <c r="B48" s="25"/>
      <c r="C48" s="38">
        <v>1160</v>
      </c>
      <c r="D48" s="37"/>
    </row>
    <row r="49" ht="20.05" customHeight="1">
      <c r="B49" s="25"/>
      <c r="C49" s="38">
        <v>1075</v>
      </c>
      <c r="D49" s="37"/>
    </row>
    <row r="50" ht="20.05" customHeight="1">
      <c r="B50" s="25"/>
      <c r="C50" s="38">
        <v>1040</v>
      </c>
      <c r="D50" s="37"/>
    </row>
    <row r="51" ht="20.05" customHeight="1">
      <c r="B51" s="25"/>
      <c r="C51" s="38">
        <v>1000</v>
      </c>
      <c r="D51" s="37"/>
    </row>
    <row r="52" ht="20.05" customHeight="1">
      <c r="B52" s="26">
        <v>2020</v>
      </c>
      <c r="C52" s="39">
        <v>870</v>
      </c>
      <c r="D52" s="37"/>
    </row>
    <row r="53" ht="20.05" customHeight="1">
      <c r="B53" s="25"/>
      <c r="C53" s="39">
        <v>745</v>
      </c>
      <c r="D53" s="37"/>
    </row>
    <row r="54" ht="20.05" customHeight="1">
      <c r="B54" s="25"/>
      <c r="C54" s="39">
        <v>600</v>
      </c>
      <c r="D54" s="37"/>
    </row>
    <row r="55" ht="20.05" customHeight="1">
      <c r="B55" s="25"/>
      <c r="C55" s="39">
        <v>690</v>
      </c>
      <c r="D55" s="37"/>
    </row>
    <row r="56" ht="20.05" customHeight="1">
      <c r="B56" s="25"/>
      <c r="C56" s="39">
        <v>595</v>
      </c>
      <c r="D56" s="37"/>
    </row>
    <row r="57" ht="20.05" customHeight="1">
      <c r="B57" s="25"/>
      <c r="C57" s="39">
        <v>585</v>
      </c>
      <c r="D57" s="37"/>
    </row>
    <row r="58" ht="20.05" customHeight="1">
      <c r="B58" s="25"/>
      <c r="C58" s="39">
        <v>655</v>
      </c>
      <c r="D58" s="37"/>
    </row>
    <row r="59" ht="20.05" customHeight="1">
      <c r="B59" s="25"/>
      <c r="C59" s="39">
        <v>630</v>
      </c>
      <c r="D59" s="37"/>
    </row>
    <row r="60" ht="20.05" customHeight="1">
      <c r="B60" s="25"/>
      <c r="C60" s="39">
        <v>570</v>
      </c>
      <c r="D60" s="37"/>
    </row>
    <row r="61" ht="20.05" customHeight="1">
      <c r="B61" s="25"/>
      <c r="C61" s="39">
        <v>600</v>
      </c>
      <c r="D61" s="37"/>
    </row>
    <row r="62" ht="20.05" customHeight="1">
      <c r="B62" s="25"/>
      <c r="C62" s="39">
        <v>700</v>
      </c>
      <c r="D62" s="37"/>
    </row>
    <row r="63" ht="20.05" customHeight="1">
      <c r="B63" s="25"/>
      <c r="C63" s="39">
        <v>710</v>
      </c>
      <c r="D63" s="37"/>
    </row>
    <row r="64" ht="20.05" customHeight="1">
      <c r="B64" s="26">
        <v>2021</v>
      </c>
      <c r="C64" s="39">
        <v>695</v>
      </c>
      <c r="D64" s="37"/>
    </row>
    <row r="65" ht="20.05" customHeight="1">
      <c r="B65" s="25"/>
      <c r="C65" s="40">
        <v>715</v>
      </c>
      <c r="D65" s="37"/>
    </row>
    <row r="66" ht="20.05" customHeight="1">
      <c r="B66" s="25"/>
      <c r="C66" s="40">
        <v>680</v>
      </c>
      <c r="D66" s="37"/>
    </row>
    <row r="67" ht="20.05" customHeight="1">
      <c r="B67" s="25"/>
      <c r="C67" s="40">
        <v>705</v>
      </c>
      <c r="D67" s="37"/>
    </row>
    <row r="68" ht="20.05" customHeight="1">
      <c r="B68" s="25"/>
      <c r="C68" s="40">
        <v>680</v>
      </c>
      <c r="D68" s="37"/>
    </row>
    <row r="69" ht="20.05" customHeight="1">
      <c r="B69" s="25"/>
      <c r="C69" s="40">
        <v>645</v>
      </c>
      <c r="D69" s="37"/>
    </row>
    <row r="70" ht="20.05" customHeight="1">
      <c r="B70" s="25"/>
      <c r="C70" s="40">
        <v>625</v>
      </c>
      <c r="D70" s="41">
        <v>1285.476163801140</v>
      </c>
    </row>
    <row r="71" ht="20.05" customHeight="1">
      <c r="B71" s="25"/>
      <c r="C71" s="40">
        <v>605</v>
      </c>
      <c r="D71" s="41">
        <v>1285.476163801140</v>
      </c>
    </row>
    <row r="72" ht="20.05" customHeight="1">
      <c r="B72" s="25"/>
      <c r="C72" s="40">
        <v>605</v>
      </c>
      <c r="D72" s="41">
        <v>1285.476163801140</v>
      </c>
    </row>
    <row r="73" ht="20.05" customHeight="1">
      <c r="B73" s="25"/>
      <c r="C73" s="40">
        <v>635</v>
      </c>
      <c r="D73" s="37"/>
    </row>
    <row r="74" ht="20.05" customHeight="1">
      <c r="B74" s="25"/>
      <c r="C74" s="40">
        <v>640</v>
      </c>
      <c r="D74" s="42">
        <f>C74</f>
        <v>640</v>
      </c>
    </row>
    <row r="75" ht="20.05" customHeight="1">
      <c r="B75" s="25"/>
      <c r="C75" s="40"/>
      <c r="D75" s="41">
        <f>'Model'!F43</f>
        <v>1274.0028780337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