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<sst xmlns="http://schemas.openxmlformats.org/spreadsheetml/2006/main" uniqueCount="56">
  <si>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</si>
  <si>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</si>
  <si>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2021</t>
  </si>
  <si>
    <t>Cashflow</t>
  </si>
  <si>
    <t>Growth</t>
  </si>
  <si>
    <t>Sales</t>
  </si>
  <si>
    <t>Cost ratio</t>
  </si>
  <si>
    <t xml:space="preserve">Cash cost </t>
  </si>
  <si>
    <t xml:space="preserve">Operating </t>
  </si>
  <si>
    <t xml:space="preserve">Investment 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</si>
  <si>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</si>
  <si>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</si>
  <si>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</si>
  <si>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</si>
  <si>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</si>
  <si>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</si>
  <si>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</si>
  <si>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</si>
  <si>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</si>
  <si>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</si>
  <si>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</si>
  <si>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</si>
  <si>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</si>
  <si>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</si>
  <si>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</si>
  <si>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</si>
  <si>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</si>
  <si>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</si>
  <si>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</si>
  <si>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</si>
  <si>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</si>
  <si>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</si>
  <si>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</si>
  <si>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</si>
  <si>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</si>
  <si>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</si>
  <si>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</si>
  <si>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</si>
  <si>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</si>
  <si>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</si>
  <si>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</si>
  <si>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</si>
  <si>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</si>
  <si>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>Costs</t>
  </si>
  <si>
    <t xml:space="preserve">Profit </t>
  </si>
  <si>
    <t xml:space="preserve">Non cash costs  </t>
  </si>
  <si>
    <t xml:space="preserve">Working capital </t>
  </si>
  <si>
    <t>Capex</t>
  </si>
  <si>
    <t xml:space="preserve">Free cashflow </t>
  </si>
  <si>
    <t>Cash</t>
  </si>
  <si>
    <t>Assets</t>
  </si>
  <si>
    <t>Check</t>
  </si>
  <si>
    <t>Net cash</t>
  </si>
  <si>
    <t>Share price</t>
  </si>
  <si>
    <t>PODD</t>
  </si>
  <si>
    <t>Target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</si>
</sst>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vertical="top" wrapText="1"/>
    </xf>
    <xf numFmtId="1" fontId="3" borderId="9" applyNumberFormat="1" applyFont="1" applyFill="0" applyBorder="1" applyAlignment="1" applyProtection="0">
      <alignment vertical="center" wrapText="1" readingOrder="1"/>
    </xf>
    <xf numFmtId="0" fontId="3" borderId="10" applyNumberFormat="0" applyFont="1" applyFill="0" applyBorder="1" applyAlignment="1" applyProtection="0">
      <alignment vertical="center" wrapText="1" readingOrder="1"/>
    </xf>
    <xf numFmtId="1" fontId="3" borderId="6" applyNumberFormat="1" applyFont="1" applyFill="0" applyBorder="1" applyAlignment="1" applyProtection="0">
      <alignment vertical="center" wrapText="1" readingOrder="1"/>
    </xf>
    <xf numFmtId="0" fontId="3" borderId="7" applyNumberFormat="0" applyFont="1" applyFill="0" applyBorder="1" applyAlignment="1" applyProtection="0">
      <alignment vertical="center" wrapText="1" readingOrder="1"/>
    </xf>
    <xf numFmtId="1" fontId="3" fillId="5" borderId="6" applyNumberFormat="1" applyFont="1" applyFill="1" applyBorder="1" applyAlignment="1" applyProtection="0">
      <alignment vertical="center" wrapText="1" readingOrder="1"/>
    </xf>
    <xf numFmtId="0" fontId="3" fillId="5" borderId="7" applyNumberFormat="0" applyFont="1" applyFill="1" applyBorder="1" applyAlignment="1" applyProtection="0">
      <alignment vertical="center" wrapText="1" readingOrder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330607</xdr:colOff>
      <xdr:row>1</xdr:row>
      <xdr:rowOff>322176</xdr:rowOff>
    </xdr:from>
    <xdr:to>
      <xdr:col>12</xdr:col>
      <xdr:colOff>1062532</xdr:colOff>
      <xdr:row>46</xdr:row>
      <xdr:rowOff>62188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48607" y="624436"/>
          <a:ext cx="8199526" cy="113001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4.7656" style="1" customWidth="1"/>
    <col min="3" max="6" width="8.83594" style="1" customWidth="1"/>
    <col min="7" max="16384" width="16.3516" style="1" customWidth="1"/>
  </cols>
  <sheetData>
    <row r="1" ht="23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AVERAGE('Sales'!E27:E30)</f>
        <v>0.0418001411347419</v>
      </c>
      <c r="D4" s="8"/>
      <c r="E4" s="8"/>
      <c r="F4" s="9">
        <f>AVERAGE(C5:F5)</f>
        <v>0.0325</v>
      </c>
    </row>
    <row r="5" ht="20.05" customHeight="1">
      <c r="B5" t="s" s="10">
        <v>4</v>
      </c>
      <c r="C5" s="11">
        <v>0.06</v>
      </c>
      <c r="D5" s="12">
        <v>-0.03</v>
      </c>
      <c r="E5" s="12">
        <v>0.05</v>
      </c>
      <c r="F5" s="12">
        <v>0.05</v>
      </c>
    </row>
    <row r="6" ht="20.05" customHeight="1">
      <c r="B6" t="s" s="10">
        <v>5</v>
      </c>
      <c r="C6" s="13">
        <f>'Sales'!C30*(1+C5)</f>
        <v>292.136</v>
      </c>
      <c r="D6" s="14">
        <f>C6*(1+D5)</f>
        <v>283.37192</v>
      </c>
      <c r="E6" s="14">
        <f>D6*(1+E5)</f>
        <v>297.540516</v>
      </c>
      <c r="F6" s="14">
        <f>E6*(1+F5)</f>
        <v>312.4175418</v>
      </c>
    </row>
    <row r="7" ht="20.05" customHeight="1">
      <c r="B7" t="s" s="10">
        <v>6</v>
      </c>
      <c r="C7" s="11">
        <f>AVERAGE('Sales'!G28)</f>
        <v>-0.824134458690358</v>
      </c>
      <c r="D7" s="12">
        <f>C7</f>
        <v>-0.824134458690358</v>
      </c>
      <c r="E7" s="12">
        <f>D7</f>
        <v>-0.824134458690358</v>
      </c>
      <c r="F7" s="12">
        <f>E7</f>
        <v>-0.824134458690358</v>
      </c>
    </row>
    <row r="8" ht="20.05" customHeight="1">
      <c r="B8" t="s" s="10">
        <v>7</v>
      </c>
      <c r="C8" s="15">
        <f>C7*C6</f>
        <v>-240.759344223966</v>
      </c>
      <c r="D8" s="16">
        <f>D7*D6</f>
        <v>-233.536563897247</v>
      </c>
      <c r="E8" s="16">
        <f>E7*E6</f>
        <v>-245.213392092110</v>
      </c>
      <c r="F8" s="16">
        <f>F7*F6</f>
        <v>-257.474061696715</v>
      </c>
    </row>
    <row r="9" ht="20.05" customHeight="1">
      <c r="B9" t="s" s="10">
        <v>8</v>
      </c>
      <c r="C9" s="15">
        <f>C6+C8</f>
        <v>51.376655776034</v>
      </c>
      <c r="D9" s="16">
        <f>D6+D8</f>
        <v>49.835356102753</v>
      </c>
      <c r="E9" s="16">
        <f>E6+E8</f>
        <v>52.327123907890</v>
      </c>
      <c r="F9" s="16">
        <f>F6+F8</f>
        <v>54.943480103285</v>
      </c>
    </row>
    <row r="10" ht="20.05" customHeight="1">
      <c r="B10" t="s" s="10">
        <v>9</v>
      </c>
      <c r="C10" s="15">
        <f>AVERAGE('Cashflow'!F30)</f>
        <v>-27.3</v>
      </c>
      <c r="D10" s="16">
        <f>C10</f>
        <v>-27.3</v>
      </c>
      <c r="E10" s="16">
        <f>D10</f>
        <v>-27.3</v>
      </c>
      <c r="F10" s="16">
        <f>E10</f>
        <v>-27.3</v>
      </c>
    </row>
    <row r="11" ht="20.05" customHeight="1">
      <c r="B11" t="s" s="10">
        <v>10</v>
      </c>
      <c r="C11" s="15">
        <f>C12+C13+C15</f>
        <v>-24.076655776034</v>
      </c>
      <c r="D11" s="16">
        <f>D12+D13+D15</f>
        <v>-22.535356102753</v>
      </c>
      <c r="E11" s="16">
        <f>E12+E13+E15</f>
        <v>-25.027123907890</v>
      </c>
      <c r="F11" s="16">
        <f>F12+F13+F15</f>
        <v>-27.643480103285</v>
      </c>
    </row>
    <row r="12" ht="20.05" customHeight="1">
      <c r="B12" t="s" s="10">
        <v>11</v>
      </c>
      <c r="C12" s="15">
        <f>-('Balance sheet'!G30)/20</f>
        <v>-75.05</v>
      </c>
      <c r="D12" s="16">
        <f>-C26/20</f>
        <v>-71.2975</v>
      </c>
      <c r="E12" s="16">
        <f>-D26/20</f>
        <v>-67.732625</v>
      </c>
      <c r="F12" s="16">
        <f>-E26/20</f>
        <v>-64.34599375000001</v>
      </c>
    </row>
    <row r="13" ht="20.05" customHeight="1">
      <c r="B13" t="s" s="10">
        <v>12</v>
      </c>
      <c r="C13" s="15">
        <f>IF(C21&gt;0,-C21*1,0)</f>
        <v>-18.376655776034</v>
      </c>
      <c r="D13" s="16">
        <f>IF(D21&gt;0,-D21*1,0)</f>
        <v>-16.835356102753</v>
      </c>
      <c r="E13" s="16">
        <f>IF(E21&gt;0,-E21*1,0)</f>
        <v>-19.327123907890</v>
      </c>
      <c r="F13" s="16">
        <f>IF(F21&gt;0,-F21*1,0)</f>
        <v>-21.943480103285</v>
      </c>
    </row>
    <row r="14" ht="20.05" customHeight="1">
      <c r="B14" t="s" s="10">
        <v>13</v>
      </c>
      <c r="C14" s="15">
        <f>C9+C10+C12+C13</f>
        <v>-69.34999999999999</v>
      </c>
      <c r="D14" s="16">
        <f>D9+D10+D12+D13</f>
        <v>-65.5975</v>
      </c>
      <c r="E14" s="16">
        <f>E9+E10+E12+E13</f>
        <v>-62.032625</v>
      </c>
      <c r="F14" s="16">
        <f>F9+F10+F12+F13</f>
        <v>-58.64599375</v>
      </c>
    </row>
    <row r="15" ht="20.05" customHeight="1">
      <c r="B15" t="s" s="10">
        <v>14</v>
      </c>
      <c r="C15" s="15">
        <f>-MIN(0,C14)</f>
        <v>69.34999999999999</v>
      </c>
      <c r="D15" s="16">
        <f>-MIN(C27,D14)</f>
        <v>65.5975</v>
      </c>
      <c r="E15" s="16">
        <f>-MIN(D27,E14)</f>
        <v>62.032625</v>
      </c>
      <c r="F15" s="16">
        <f>-MIN(E27,F14)</f>
        <v>58.64599375</v>
      </c>
    </row>
    <row r="16" ht="20.05" customHeight="1">
      <c r="B16" t="s" s="10">
        <v>15</v>
      </c>
      <c r="C16" s="15">
        <f>'Balance sheet'!C30</f>
        <v>587.1</v>
      </c>
      <c r="D16" s="16">
        <f>C18</f>
        <v>587.1</v>
      </c>
      <c r="E16" s="16">
        <f>D18</f>
        <v>587.1</v>
      </c>
      <c r="F16" s="16">
        <f>E18</f>
        <v>587.1</v>
      </c>
    </row>
    <row r="17" ht="20.05" customHeight="1">
      <c r="B17" t="s" s="10">
        <v>16</v>
      </c>
      <c r="C17" s="15">
        <f>C9+C10+C11</f>
        <v>0</v>
      </c>
      <c r="D17" s="16">
        <f>D9+D10+D11</f>
        <v>0</v>
      </c>
      <c r="E17" s="16">
        <f>E9+E10+E11</f>
        <v>0</v>
      </c>
      <c r="F17" s="16">
        <f>F9+F10+F11</f>
        <v>0</v>
      </c>
    </row>
    <row r="18" ht="20.05" customHeight="1">
      <c r="B18" t="s" s="10">
        <v>17</v>
      </c>
      <c r="C18" s="15">
        <f>C16+C17</f>
        <v>587.1</v>
      </c>
      <c r="D18" s="16">
        <f>D16+D17</f>
        <v>587.1</v>
      </c>
      <c r="E18" s="16">
        <f>E16+E17</f>
        <v>587.1</v>
      </c>
      <c r="F18" s="16">
        <f>F16+F17</f>
        <v>587.1</v>
      </c>
    </row>
    <row r="19" ht="20.05" customHeight="1">
      <c r="B19" t="s" s="17">
        <v>18</v>
      </c>
      <c r="C19" s="18"/>
      <c r="D19" s="19"/>
      <c r="E19" s="19"/>
      <c r="F19" s="20"/>
    </row>
    <row r="20" ht="20.05" customHeight="1">
      <c r="B20" t="s" s="10">
        <v>19</v>
      </c>
      <c r="C20" s="15">
        <f>-AVERAGE('Cashflow'!D30)</f>
        <v>-33</v>
      </c>
      <c r="D20" s="16">
        <f>C20</f>
        <v>-33</v>
      </c>
      <c r="E20" s="16">
        <f>D20</f>
        <v>-33</v>
      </c>
      <c r="F20" s="16">
        <f>E20</f>
        <v>-33</v>
      </c>
    </row>
    <row r="21" ht="20.05" customHeight="1">
      <c r="B21" t="s" s="10">
        <v>20</v>
      </c>
      <c r="C21" s="15">
        <f>C6+C8+C20</f>
        <v>18.376655776034</v>
      </c>
      <c r="D21" s="16">
        <f>D6+D8+D20</f>
        <v>16.835356102753</v>
      </c>
      <c r="E21" s="16">
        <f>E6+E8+E20</f>
        <v>19.327123907890</v>
      </c>
      <c r="F21" s="16">
        <f>F6+F8+F20</f>
        <v>21.943480103285</v>
      </c>
    </row>
    <row r="22" ht="20.05" customHeight="1">
      <c r="B22" t="s" s="17">
        <v>21</v>
      </c>
      <c r="C22" s="18"/>
      <c r="D22" s="19"/>
      <c r="E22" s="19"/>
      <c r="F22" s="16"/>
    </row>
    <row r="23" ht="20.05" customHeight="1">
      <c r="B23" t="s" s="10">
        <v>22</v>
      </c>
      <c r="C23" s="15">
        <f>'Balance sheet'!E30+'Balance sheet'!F30-C10</f>
        <v>1733.026</v>
      </c>
      <c r="D23" s="16">
        <f>C23-D10</f>
        <v>1760.326</v>
      </c>
      <c r="E23" s="16">
        <f>D23-E10</f>
        <v>1787.626</v>
      </c>
      <c r="F23" s="16">
        <f>E23-F10</f>
        <v>1814.926</v>
      </c>
    </row>
    <row r="24" ht="20.05" customHeight="1">
      <c r="B24" t="s" s="10">
        <v>23</v>
      </c>
      <c r="C24" s="15">
        <f>'Balance sheet'!F30-C20</f>
        <v>326.926</v>
      </c>
      <c r="D24" s="16">
        <f>C24-D20</f>
        <v>359.926</v>
      </c>
      <c r="E24" s="16">
        <f>D24-E20</f>
        <v>392.926</v>
      </c>
      <c r="F24" s="16">
        <f>E24-F20</f>
        <v>425.926</v>
      </c>
    </row>
    <row r="25" ht="20.05" customHeight="1">
      <c r="B25" t="s" s="10">
        <v>24</v>
      </c>
      <c r="C25" s="15">
        <f>C23-C24</f>
        <v>1406.1</v>
      </c>
      <c r="D25" s="16">
        <f>D23-D24</f>
        <v>1400.4</v>
      </c>
      <c r="E25" s="16">
        <f>E23-E24</f>
        <v>1394.7</v>
      </c>
      <c r="F25" s="16">
        <f>F23-F24</f>
        <v>1389</v>
      </c>
    </row>
    <row r="26" ht="20.05" customHeight="1">
      <c r="B26" t="s" s="10">
        <v>11</v>
      </c>
      <c r="C26" s="15">
        <f>'Balance sheet'!G30+C12</f>
        <v>1425.95</v>
      </c>
      <c r="D26" s="16">
        <f>C26+D12</f>
        <v>1354.6525</v>
      </c>
      <c r="E26" s="16">
        <f>D26+E12</f>
        <v>1286.919875</v>
      </c>
      <c r="F26" s="16">
        <f>E26+F12</f>
        <v>1222.57388125</v>
      </c>
    </row>
    <row r="27" ht="20.05" customHeight="1">
      <c r="B27" t="s" s="10">
        <v>14</v>
      </c>
      <c r="C27" s="15">
        <f>C15</f>
        <v>69.34999999999999</v>
      </c>
      <c r="D27" s="16">
        <f>C27+D15</f>
        <v>134.9475</v>
      </c>
      <c r="E27" s="16">
        <f>D27+E15</f>
        <v>196.980125</v>
      </c>
      <c r="F27" s="16">
        <f>E27+F15</f>
        <v>255.62611875</v>
      </c>
    </row>
    <row r="28" ht="20.05" customHeight="1">
      <c r="B28" t="s" s="10">
        <v>25</v>
      </c>
      <c r="C28" s="15">
        <f>'Balance sheet'!H30+C21+C13</f>
        <v>497.6</v>
      </c>
      <c r="D28" s="16">
        <f>C28+D21+D13</f>
        <v>497.6</v>
      </c>
      <c r="E28" s="16">
        <f>D28+E21+E13</f>
        <v>497.6</v>
      </c>
      <c r="F28" s="16">
        <f>E28+F21+F13</f>
        <v>497.6</v>
      </c>
    </row>
    <row r="29" ht="20.05" customHeight="1">
      <c r="B29" t="s" s="10">
        <v>26</v>
      </c>
      <c r="C29" s="15">
        <f>C26+C27+C28-C18-C25</f>
        <v>-0.3</v>
      </c>
      <c r="D29" s="16">
        <f>D26+D27+D28-D18-D25</f>
        <v>-0.3</v>
      </c>
      <c r="E29" s="16">
        <f>E26+E27+E28-E18-E25</f>
        <v>-0.3</v>
      </c>
      <c r="F29" s="16">
        <f>F26+F27+F28-F18-F25</f>
        <v>-0.3</v>
      </c>
    </row>
    <row r="30" ht="20.05" customHeight="1">
      <c r="B30" t="s" s="10">
        <v>27</v>
      </c>
      <c r="C30" s="15">
        <f>C18-C26-C27</f>
        <v>-908.2</v>
      </c>
      <c r="D30" s="16">
        <f>D18-D26-D27</f>
        <v>-902.5</v>
      </c>
      <c r="E30" s="16">
        <f>E18-E26-E27</f>
        <v>-896.8</v>
      </c>
      <c r="F30" s="16">
        <f>F18-F26-F27</f>
        <v>-891.1</v>
      </c>
    </row>
    <row r="31" ht="20.05" customHeight="1">
      <c r="B31" t="s" s="17">
        <v>28</v>
      </c>
      <c r="C31" s="15"/>
      <c r="D31" s="16"/>
      <c r="E31" s="16"/>
      <c r="F31" s="16"/>
    </row>
    <row r="32" ht="20.05" customHeight="1">
      <c r="B32" t="s" s="10">
        <v>29</v>
      </c>
      <c r="C32" s="15">
        <f>'Cashflow'!N30-C11</f>
        <v>-991.761344223966</v>
      </c>
      <c r="D32" s="16">
        <f>C32-D11</f>
        <v>-969.225988121213</v>
      </c>
      <c r="E32" s="16">
        <f>D32-E11</f>
        <v>-944.198864213323</v>
      </c>
      <c r="F32" s="16">
        <f>E32-F11</f>
        <v>-916.5553841100379</v>
      </c>
    </row>
    <row r="33" ht="20.05" customHeight="1">
      <c r="B33" t="s" s="10">
        <v>30</v>
      </c>
      <c r="C33" s="15"/>
      <c r="D33" s="16"/>
      <c r="E33" s="16"/>
      <c r="F33" s="16">
        <v>17720</v>
      </c>
    </row>
    <row r="34" ht="20.05" customHeight="1">
      <c r="B34" t="s" s="10">
        <v>31</v>
      </c>
      <c r="C34" s="15"/>
      <c r="D34" s="16"/>
      <c r="E34" s="16"/>
      <c r="F34" s="16">
        <f>F33/(F18+F25)</f>
        <v>8.967157532513539</v>
      </c>
    </row>
    <row r="35" ht="20.05" customHeight="1">
      <c r="B35" t="s" s="10">
        <v>32</v>
      </c>
      <c r="C35" s="15"/>
      <c r="D35" s="16"/>
      <c r="E35" s="16"/>
      <c r="F35" s="21">
        <f>-(C13+D13+E13+F13)/F33</f>
        <v>0.00431617471162314</v>
      </c>
    </row>
    <row r="36" ht="20.05" customHeight="1">
      <c r="B36" t="s" s="10">
        <v>3</v>
      </c>
      <c r="C36" s="15"/>
      <c r="D36" s="16"/>
      <c r="E36" s="16"/>
      <c r="F36" s="16">
        <f>SUM(C9:F10)</f>
        <v>99.282615889962</v>
      </c>
    </row>
    <row r="37" ht="20.05" customHeight="1">
      <c r="B37" t="s" s="10">
        <v>33</v>
      </c>
      <c r="C37" s="15"/>
      <c r="D37" s="16"/>
      <c r="E37" s="16"/>
      <c r="F37" s="16">
        <f>'Balance sheet'!E30/F36</f>
        <v>14.2200121073033</v>
      </c>
    </row>
    <row r="38" ht="20.05" customHeight="1">
      <c r="B38" t="s" s="10">
        <v>28</v>
      </c>
      <c r="C38" s="15"/>
      <c r="D38" s="16"/>
      <c r="E38" s="16"/>
      <c r="F38" s="16">
        <f>F33/F36</f>
        <v>178.480389957086</v>
      </c>
    </row>
    <row r="39" ht="20.05" customHeight="1">
      <c r="B39" t="s" s="10">
        <v>34</v>
      </c>
      <c r="C39" s="15"/>
      <c r="D39" s="16"/>
      <c r="E39" s="16"/>
      <c r="F39" s="16">
        <v>100</v>
      </c>
    </row>
    <row r="40" ht="20.05" customHeight="1">
      <c r="B40" t="s" s="10">
        <v>35</v>
      </c>
      <c r="C40" s="15"/>
      <c r="D40" s="16"/>
      <c r="E40" s="16"/>
      <c r="F40" s="16">
        <f>F36*F39</f>
        <v>9928.2615889962</v>
      </c>
    </row>
    <row r="41" ht="20.05" customHeight="1">
      <c r="B41" t="s" s="10">
        <v>36</v>
      </c>
      <c r="C41" s="15"/>
      <c r="D41" s="16"/>
      <c r="E41" s="16"/>
      <c r="F41" s="16">
        <f>F33/F43</f>
        <v>68.97625535227721</v>
      </c>
    </row>
    <row r="42" ht="20.05" customHeight="1">
      <c r="B42" t="s" s="10">
        <v>37</v>
      </c>
      <c r="C42" s="15"/>
      <c r="D42" s="16"/>
      <c r="E42" s="16"/>
      <c r="F42" s="16">
        <f>F40/F41</f>
        <v>143.937381614736</v>
      </c>
    </row>
    <row r="43" ht="20.05" customHeight="1">
      <c r="B43" t="s" s="10">
        <v>38</v>
      </c>
      <c r="C43" s="15"/>
      <c r="D43" s="16"/>
      <c r="E43" s="16"/>
      <c r="F43" s="16">
        <f>'Share price'!C19</f>
        <v>256.9</v>
      </c>
    </row>
    <row r="44" ht="20.05" customHeight="1">
      <c r="B44" t="s" s="10">
        <v>39</v>
      </c>
      <c r="C44" s="15"/>
      <c r="D44" s="16"/>
      <c r="E44" s="16"/>
      <c r="F44" s="21">
        <f>F42/F43-1</f>
        <v>-0.439714357280125</v>
      </c>
    </row>
    <row r="45" ht="20.05" customHeight="1">
      <c r="B45" t="s" s="10">
        <v>40</v>
      </c>
      <c r="C45" s="15"/>
      <c r="D45" s="16"/>
      <c r="E45" s="16"/>
      <c r="F45" s="21">
        <f>'Sales'!C30/'Sales'!C26-1</f>
        <v>0.177777777777778</v>
      </c>
    </row>
    <row r="46" ht="20.05" customHeight="1">
      <c r="B46" t="s" s="10">
        <v>41</v>
      </c>
      <c r="C46" s="15"/>
      <c r="D46" s="16"/>
      <c r="E46" s="16"/>
      <c r="F46" s="21">
        <f>('Sales'!D24+'Sales'!D30+'Sales'!D25+'Sales'!D26+'Sales'!D27+'Sales'!D28+'Sales'!D29)/('Sales'!C24+'Sales'!C25+'Sales'!C26+'Sales'!C27+'Sales'!C28+'Sales'!C30+'Sales'!C29)-1</f>
        <v>0.00673256225657972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0078" style="22" customWidth="1"/>
    <col min="2" max="2" width="11.9766" style="22" customWidth="1"/>
    <col min="3" max="7" width="11.6172" style="22" customWidth="1"/>
    <col min="8" max="16384" width="16.3516" style="22" customWidth="1"/>
  </cols>
  <sheetData>
    <row r="1" ht="55.8" customHeight="1"/>
    <row r="2" ht="27.65" customHeight="1">
      <c r="B2" t="s" s="2">
        <v>5</v>
      </c>
      <c r="C2" s="2"/>
      <c r="D2" s="2"/>
      <c r="E2" s="2"/>
      <c r="F2" s="2"/>
      <c r="G2" s="2"/>
    </row>
    <row r="3" ht="32.25" customHeight="1">
      <c r="B3" t="s" s="4">
        <v>1</v>
      </c>
      <c r="C3" t="s" s="4">
        <v>5</v>
      </c>
      <c r="D3" t="s" s="4">
        <v>34</v>
      </c>
      <c r="E3" t="s" s="4">
        <v>42</v>
      </c>
      <c r="F3" t="s" s="4">
        <v>6</v>
      </c>
      <c r="G3" t="s" s="4">
        <v>43</v>
      </c>
    </row>
    <row r="4" ht="20.25" customHeight="1">
      <c r="B4" s="23">
        <v>2015</v>
      </c>
      <c r="C4" s="24">
        <v>48</v>
      </c>
      <c r="D4" s="25"/>
      <c r="E4" s="26"/>
      <c r="F4" s="26">
        <f>('Cashflow'!C4+'Cashflow'!D4-C4)/C4</f>
        <v>-1.136875</v>
      </c>
      <c r="G4" s="26"/>
    </row>
    <row r="5" ht="20.05" customHeight="1">
      <c r="B5" s="27"/>
      <c r="C5" s="13">
        <v>60.5</v>
      </c>
      <c r="D5" s="14"/>
      <c r="E5" s="21">
        <f>C5/C4-1</f>
        <v>0.260416666666667</v>
      </c>
      <c r="F5" s="21">
        <f>('Cashflow'!C5+'Cashflow'!D5-C5)/C5</f>
        <v>-1.25057851239669</v>
      </c>
      <c r="G5" s="21"/>
    </row>
    <row r="6" ht="20.05" customHeight="1">
      <c r="B6" s="27"/>
      <c r="C6" s="13">
        <v>71.3</v>
      </c>
      <c r="D6" s="14"/>
      <c r="E6" s="21">
        <f>C6/C5-1</f>
        <v>0.178512396694215</v>
      </c>
      <c r="F6" s="21">
        <f>('Cashflow'!C6+'Cashflow'!D6-C6)/C6</f>
        <v>-1.25173913043478</v>
      </c>
      <c r="G6" s="21"/>
    </row>
    <row r="7" ht="20.05" customHeight="1">
      <c r="B7" s="27"/>
      <c r="C7" s="13">
        <v>83.8</v>
      </c>
      <c r="D7" s="14"/>
      <c r="E7" s="21">
        <f>C7/C6-1</f>
        <v>0.17531556802244</v>
      </c>
      <c r="F7" s="21">
        <f>('Cashflow'!C7+'Cashflow'!D7-C7)/C7</f>
        <v>-1.32747016706444</v>
      </c>
      <c r="G7" s="12"/>
    </row>
    <row r="8" ht="20.05" customHeight="1">
      <c r="B8" s="28">
        <v>2016</v>
      </c>
      <c r="C8" s="13">
        <v>81.2</v>
      </c>
      <c r="D8" s="14"/>
      <c r="E8" s="21">
        <f>C8/C7-1</f>
        <v>-0.0310262529832936</v>
      </c>
      <c r="F8" s="21">
        <f>('Cashflow'!C8+'Cashflow'!D8-C8)/C8</f>
        <v>-1.0871921182266</v>
      </c>
      <c r="G8" s="12">
        <f>AVERAGE(F5:F8)</f>
        <v>-1.22924498203063</v>
      </c>
    </row>
    <row r="9" ht="20.05" customHeight="1">
      <c r="B9" s="27"/>
      <c r="C9" s="13">
        <v>87.3</v>
      </c>
      <c r="D9" s="14"/>
      <c r="E9" s="21">
        <f>C9/C8-1</f>
        <v>0.0751231527093596</v>
      </c>
      <c r="F9" s="21">
        <f>('Cashflow'!C9+'Cashflow'!D9-C9)/C9</f>
        <v>-1.04513172966781</v>
      </c>
      <c r="G9" s="12">
        <f>AVERAGE(F6:F9)</f>
        <v>-1.17788328634841</v>
      </c>
    </row>
    <row r="10" ht="20.05" customHeight="1">
      <c r="B10" s="27"/>
      <c r="C10" s="13">
        <v>94.8</v>
      </c>
      <c r="D10" s="14"/>
      <c r="E10" s="21">
        <f>C10/C9-1</f>
        <v>0.0859106529209622</v>
      </c>
      <c r="F10" s="21">
        <f>('Cashflow'!C10+'Cashflow'!D10-C10)/C10</f>
        <v>-1.0262552742616</v>
      </c>
      <c r="G10" s="12">
        <f>AVERAGE(F7:F10)</f>
        <v>-1.12151232230511</v>
      </c>
    </row>
    <row r="11" ht="20.05" customHeight="1">
      <c r="B11" s="27"/>
      <c r="C11" s="13">
        <v>103.5</v>
      </c>
      <c r="D11" s="14"/>
      <c r="E11" s="21">
        <f>C11/C10-1</f>
        <v>0.09177215189873419</v>
      </c>
      <c r="F11" s="21">
        <f>('Cashflow'!C11+'Cashflow'!D11-C11)/C11</f>
        <v>-1.07422222222222</v>
      </c>
      <c r="G11" s="12">
        <f>AVERAGE(F8:F11)</f>
        <v>-1.05820033609456</v>
      </c>
    </row>
    <row r="12" ht="20.05" customHeight="1">
      <c r="B12" s="28">
        <v>2017</v>
      </c>
      <c r="C12" s="13">
        <v>101.7</v>
      </c>
      <c r="D12" s="14"/>
      <c r="E12" s="21">
        <f>C12/C11-1</f>
        <v>-0.0173913043478261</v>
      </c>
      <c r="F12" s="21">
        <f>('Cashflow'!C12+'Cashflow'!D12-C12)/C12</f>
        <v>-1.02546705998033</v>
      </c>
      <c r="G12" s="12">
        <f>AVERAGE(F9:F12)</f>
        <v>-1.04276907153299</v>
      </c>
    </row>
    <row r="13" ht="20.05" customHeight="1">
      <c r="B13" s="27"/>
      <c r="C13" s="13">
        <v>109.7</v>
      </c>
      <c r="D13" s="14"/>
      <c r="E13" s="21">
        <f>C13/C12-1</f>
        <v>0.0786627335299902</v>
      </c>
      <c r="F13" s="21">
        <f>('Cashflow'!C13+'Cashflow'!D13-C13)/C13</f>
        <v>-1.06946216955333</v>
      </c>
      <c r="G13" s="12">
        <f>AVERAGE(F10:F13)</f>
        <v>-1.04885168150437</v>
      </c>
    </row>
    <row r="14" ht="20.05" customHeight="1">
      <c r="B14" s="27"/>
      <c r="C14" s="13">
        <v>121.7</v>
      </c>
      <c r="D14" s="14"/>
      <c r="E14" s="21">
        <f>C14/C13-1</f>
        <v>0.109389243391067</v>
      </c>
      <c r="F14" s="21">
        <f>('Cashflow'!C14+'Cashflow'!D14-C14)/C14</f>
        <v>-1.01470829909614</v>
      </c>
      <c r="G14" s="12">
        <f>AVERAGE(F11:F14)</f>
        <v>-1.04596493771301</v>
      </c>
    </row>
    <row r="15" ht="20.05" customHeight="1">
      <c r="B15" s="27"/>
      <c r="C15" s="13">
        <f>463.8-SUM(C12:C14)</f>
        <v>130.7</v>
      </c>
      <c r="D15" s="14"/>
      <c r="E15" s="21">
        <f>C15/C14-1</f>
        <v>0.0739523418241578</v>
      </c>
      <c r="F15" s="21">
        <f>('Cashflow'!C15+'Cashflow'!D15-C15)/C15</f>
        <v>-0.869166029074216</v>
      </c>
      <c r="G15" s="12">
        <f>AVERAGE(F12:F15)</f>
        <v>-0.994700889426004</v>
      </c>
    </row>
    <row r="16" ht="20.05" customHeight="1">
      <c r="B16" s="28">
        <v>2018</v>
      </c>
      <c r="C16" s="13">
        <v>123.6</v>
      </c>
      <c r="D16" s="14"/>
      <c r="E16" s="21">
        <f>C16/C15-1</f>
        <v>-0.0543228768171385</v>
      </c>
      <c r="F16" s="21">
        <f>('Cashflow'!C16+'Cashflow'!D16-C16)/C16</f>
        <v>-0.9668284789644011</v>
      </c>
      <c r="G16" s="12">
        <f>AVERAGE(F13:F16)</f>
        <v>-0.980041244172022</v>
      </c>
    </row>
    <row r="17" ht="20.05" customHeight="1">
      <c r="B17" s="27"/>
      <c r="C17" s="13">
        <v>124.3</v>
      </c>
      <c r="D17" s="14"/>
      <c r="E17" s="21">
        <f>C17/C16-1</f>
        <v>0.00566343042071197</v>
      </c>
      <c r="F17" s="21">
        <f>('Cashflow'!C17+'Cashflow'!D17-C17)/C17</f>
        <v>-0.926790024135157</v>
      </c>
      <c r="G17" s="12">
        <f>AVERAGE(F14:F17)</f>
        <v>-0.944373207817479</v>
      </c>
    </row>
    <row r="18" ht="20.05" customHeight="1">
      <c r="B18" s="27"/>
      <c r="C18" s="13">
        <v>151.1</v>
      </c>
      <c r="D18" s="14"/>
      <c r="E18" s="21">
        <f>C18/C17-1</f>
        <v>0.215607401448109</v>
      </c>
      <c r="F18" s="21">
        <f>('Cashflow'!C18+'Cashflow'!D18-C18)/C18</f>
        <v>-0.911978821972204</v>
      </c>
      <c r="G18" s="12">
        <f>AVERAGE(F15:F18)</f>
        <v>-0.918690838536495</v>
      </c>
    </row>
    <row r="19" ht="20.05" customHeight="1">
      <c r="B19" s="27"/>
      <c r="C19" s="13">
        <f>563.8-SUM(C16:C18)</f>
        <v>164.8</v>
      </c>
      <c r="D19" s="14"/>
      <c r="E19" s="21">
        <f>C19/C18-1</f>
        <v>0.09066843150231629</v>
      </c>
      <c r="F19" s="21">
        <f>('Cashflow'!C19+'Cashflow'!D19-C19)/C19</f>
        <v>-0.868325242718447</v>
      </c>
      <c r="G19" s="12">
        <f>AVERAGE(F16:F19)</f>
        <v>-0.918480641947552</v>
      </c>
    </row>
    <row r="20" ht="20.05" customHeight="1">
      <c r="B20" s="28">
        <v>2019</v>
      </c>
      <c r="C20" s="13">
        <v>159.6</v>
      </c>
      <c r="D20" s="14"/>
      <c r="E20" s="21">
        <f>C20/C19-1</f>
        <v>-0.0315533980582524</v>
      </c>
      <c r="F20" s="21">
        <f>('Cashflow'!C20+'Cashflow'!D20-C20)/C20</f>
        <v>-0.892857142857143</v>
      </c>
      <c r="G20" s="12">
        <f>AVERAGE(F17:F20)</f>
        <v>-0.899987807920738</v>
      </c>
    </row>
    <row r="21" ht="20.05" customHeight="1">
      <c r="B21" s="27"/>
      <c r="C21" s="13">
        <v>177.1</v>
      </c>
      <c r="D21" s="14"/>
      <c r="E21" s="21">
        <f>C21/C20-1</f>
        <v>0.109649122807018</v>
      </c>
      <c r="F21" s="21">
        <f>('Cashflow'!C21+'Cashflow'!D21-C21)/C21</f>
        <v>-0.914737436476567</v>
      </c>
      <c r="G21" s="12">
        <f>AVERAGE(F18:F21)</f>
        <v>-0.89697466100609</v>
      </c>
    </row>
    <row r="22" ht="20.05" customHeight="1">
      <c r="B22" s="27"/>
      <c r="C22" s="13">
        <v>192.1</v>
      </c>
      <c r="D22" s="14"/>
      <c r="E22" s="21">
        <f>C22/C21-1</f>
        <v>0.0846979107848673</v>
      </c>
      <c r="F22" s="21">
        <f>('Cashflow'!C22+'Cashflow'!D22-C22)/C22</f>
        <v>-0.908901613742842</v>
      </c>
      <c r="G22" s="12">
        <f>AVERAGE(F19:F22)</f>
        <v>-0.89620535894875</v>
      </c>
    </row>
    <row r="23" ht="20.05" customHeight="1">
      <c r="B23" s="27"/>
      <c r="C23" s="13">
        <f>738.2-SUM(C20:C22)</f>
        <v>209.4</v>
      </c>
      <c r="D23" s="14"/>
      <c r="E23" s="21">
        <f>C23/C22-1</f>
        <v>0.0900572618427902</v>
      </c>
      <c r="F23" s="21">
        <f>('Cashflow'!C23+'Cashflow'!D23-C23)/C23</f>
        <v>-0.878701050620821</v>
      </c>
      <c r="G23" s="12">
        <f>AVERAGE(F20:F23)</f>
        <v>-0.898799310924343</v>
      </c>
    </row>
    <row r="24" ht="20.05" customHeight="1">
      <c r="B24" s="28">
        <v>2020</v>
      </c>
      <c r="C24" s="13">
        <v>198</v>
      </c>
      <c r="D24" s="14">
        <v>203</v>
      </c>
      <c r="E24" s="21">
        <f>C24/C23-1</f>
        <v>-0.0544412607449857</v>
      </c>
      <c r="F24" s="21">
        <f>('Cashflow'!C24+'Cashflow'!D24-C24)/C24</f>
        <v>-0.90959595959596</v>
      </c>
      <c r="G24" s="12">
        <f>AVERAGE(F21:F24)</f>
        <v>-0.902984015109048</v>
      </c>
    </row>
    <row r="25" ht="20.05" customHeight="1">
      <c r="B25" s="27"/>
      <c r="C25" s="13">
        <v>226.3</v>
      </c>
      <c r="D25" s="14">
        <v>213</v>
      </c>
      <c r="E25" s="21">
        <f>C25/C24-1</f>
        <v>0.142929292929293</v>
      </c>
      <c r="F25" s="21">
        <f>('Cashflow'!C25+'Cashflow'!D25-C25)/C25</f>
        <v>-0.7711003093239061</v>
      </c>
      <c r="G25" s="12">
        <f>AVERAGE(F22:F25)</f>
        <v>-0.867074733320882</v>
      </c>
    </row>
    <row r="26" ht="20.05" customHeight="1">
      <c r="B26" s="27"/>
      <c r="C26" s="13">
        <v>234</v>
      </c>
      <c r="D26" s="14">
        <v>230.52</v>
      </c>
      <c r="E26" s="21">
        <f>C26/C25-1</f>
        <v>0.034025629695095</v>
      </c>
      <c r="F26" s="21">
        <f>('Cashflow'!C26+'Cashflow'!D26-C26)/C26</f>
        <v>-0.824786324786325</v>
      </c>
      <c r="G26" s="12">
        <f>AVERAGE(F23:F26)</f>
        <v>-0.846045911081753</v>
      </c>
    </row>
    <row r="27" ht="20.05" customHeight="1">
      <c r="B27" s="27"/>
      <c r="C27" s="13">
        <v>245.7</v>
      </c>
      <c r="D27" s="14">
        <v>257.4</v>
      </c>
      <c r="E27" s="21">
        <f>C27/C26-1</f>
        <v>0.05</v>
      </c>
      <c r="F27" s="21">
        <f>('Cashflow'!C27+'Cashflow'!D27-C27)/C27</f>
        <v>-0.851444851444851</v>
      </c>
      <c r="G27" s="12">
        <f>AVERAGE(F24:F27)</f>
        <v>-0.8392318612877609</v>
      </c>
    </row>
    <row r="28" ht="20.05" customHeight="1">
      <c r="B28" s="28">
        <v>2021</v>
      </c>
      <c r="C28" s="18">
        <v>252</v>
      </c>
      <c r="D28" s="14">
        <v>238.329</v>
      </c>
      <c r="E28" s="21">
        <f>C28/C27-1</f>
        <v>0.0256410256410256</v>
      </c>
      <c r="F28" s="21">
        <f>('Cashflow'!C28+'Cashflow'!D28-C28)/C28</f>
        <v>-0.849206349206349</v>
      </c>
      <c r="G28" s="12">
        <f>AVERAGE(F25:F28)</f>
        <v>-0.824134458690358</v>
      </c>
    </row>
    <row r="29" ht="20.05" customHeight="1">
      <c r="B29" s="27"/>
      <c r="C29" s="13">
        <v>263</v>
      </c>
      <c r="D29" s="14">
        <v>279.72</v>
      </c>
      <c r="E29" s="21">
        <f>C29/C28-1</f>
        <v>0.0436507936507937</v>
      </c>
      <c r="F29" s="21">
        <f>('Cashflow'!C29+'Cashflow'!D29-C29)/C29</f>
        <v>-0.812167300380228</v>
      </c>
      <c r="G29" s="12">
        <f>AVERAGE(F26:F29)</f>
        <v>-0.834401206454438</v>
      </c>
    </row>
    <row r="30" ht="20.05" customHeight="1">
      <c r="B30" s="27"/>
      <c r="C30" s="13">
        <v>275.6</v>
      </c>
      <c r="D30" s="14">
        <v>284.04</v>
      </c>
      <c r="E30" s="21">
        <f>C30/C29-1</f>
        <v>0.0479087452471483</v>
      </c>
      <c r="F30" s="21">
        <f>('Cashflow'!C30+'Cashflow'!D30-C30)/C30</f>
        <v>-0.834542815674891</v>
      </c>
      <c r="G30" s="12">
        <f>AVERAGE(F27:F30)</f>
        <v>-0.83684032917658</v>
      </c>
    </row>
    <row r="31" ht="20.05" customHeight="1">
      <c r="B31" s="27"/>
      <c r="C31" s="13"/>
      <c r="D31" s="14">
        <f>'Model'!C6</f>
        <v>292.136</v>
      </c>
      <c r="E31" s="12"/>
      <c r="F31" s="12"/>
      <c r="G31" s="12">
        <f>'Model'!C7</f>
        <v>-0.824134458690358</v>
      </c>
    </row>
    <row r="32" ht="20.05" customHeight="1">
      <c r="B32" s="28">
        <v>2022</v>
      </c>
      <c r="C32" s="13"/>
      <c r="D32" s="14">
        <f>'Model'!D6</f>
        <v>283.37192</v>
      </c>
      <c r="E32" s="12"/>
      <c r="F32" s="12"/>
      <c r="G32" s="12"/>
    </row>
    <row r="33" ht="20.05" customHeight="1">
      <c r="B33" s="27"/>
      <c r="C33" s="13"/>
      <c r="D33" s="14">
        <f>'Model'!E6</f>
        <v>297.540516</v>
      </c>
      <c r="E33" s="12"/>
      <c r="F33" s="12"/>
      <c r="G33" s="12"/>
    </row>
    <row r="34" ht="20.05" customHeight="1">
      <c r="B34" s="27"/>
      <c r="C34" s="13"/>
      <c r="D34" s="14">
        <f>'Model'!F6</f>
        <v>312.4175418</v>
      </c>
      <c r="E34" s="12"/>
      <c r="F34" s="12"/>
      <c r="G34" s="12"/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5156" style="29" customWidth="1"/>
    <col min="2" max="2" width="8.8125" style="29" customWidth="1"/>
    <col min="3" max="7" width="10.7891" style="29" customWidth="1"/>
    <col min="8" max="8" width="11.0547" style="29" customWidth="1"/>
    <col min="9" max="14" width="8.89062" style="29" customWidth="1"/>
    <col min="15" max="16384" width="16.3516" style="29" customWidth="1"/>
  </cols>
  <sheetData>
    <row r="1" ht="43.2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4">
        <v>1</v>
      </c>
      <c r="C3" t="s" s="4">
        <v>44</v>
      </c>
      <c r="D3" t="s" s="4">
        <v>45</v>
      </c>
      <c r="E3" t="s" s="4">
        <v>46</v>
      </c>
      <c r="F3" t="s" s="4">
        <v>47</v>
      </c>
      <c r="G3" t="s" s="4">
        <v>8</v>
      </c>
      <c r="H3" t="s" s="4">
        <v>9</v>
      </c>
      <c r="I3" t="s" s="4">
        <v>11</v>
      </c>
      <c r="J3" t="s" s="4">
        <v>25</v>
      </c>
      <c r="K3" t="s" s="4">
        <v>10</v>
      </c>
      <c r="L3" t="s" s="4">
        <v>48</v>
      </c>
      <c r="M3" t="s" s="4">
        <v>3</v>
      </c>
      <c r="N3" t="s" s="4">
        <v>29</v>
      </c>
    </row>
    <row r="4" ht="20.35" customHeight="1">
      <c r="B4" s="23">
        <v>2015</v>
      </c>
      <c r="C4" s="30">
        <v>-11.8</v>
      </c>
      <c r="D4" s="31">
        <v>5.23</v>
      </c>
      <c r="E4" s="31">
        <f>G4-D4-C4</f>
        <v>3.09</v>
      </c>
      <c r="F4" s="31">
        <v>-4.3</v>
      </c>
      <c r="G4" s="31">
        <v>-3.48</v>
      </c>
      <c r="H4" s="31">
        <v>-4.34</v>
      </c>
      <c r="I4" s="31"/>
      <c r="J4" s="31"/>
      <c r="K4" s="31">
        <v>2.2</v>
      </c>
      <c r="L4" s="31">
        <f>F4+G4</f>
        <v>-7.78</v>
      </c>
      <c r="M4" s="31"/>
      <c r="N4" s="31">
        <f>-K4</f>
        <v>-2.2</v>
      </c>
    </row>
    <row r="5" ht="20.15" customHeight="1">
      <c r="B5" s="27"/>
      <c r="C5" s="15">
        <v>-15.4</v>
      </c>
      <c r="D5" s="16">
        <v>0.24</v>
      </c>
      <c r="E5" s="16">
        <f>G5-D5-C5</f>
        <v>19.42</v>
      </c>
      <c r="F5" s="16">
        <v>-0.7</v>
      </c>
      <c r="G5" s="16">
        <v>4.26</v>
      </c>
      <c r="H5" s="16">
        <v>4.08</v>
      </c>
      <c r="I5" s="16"/>
      <c r="J5" s="16"/>
      <c r="K5" s="16">
        <v>-3.2</v>
      </c>
      <c r="L5" s="16">
        <f>F5+G5</f>
        <v>3.56</v>
      </c>
      <c r="M5" s="16"/>
      <c r="N5" s="16">
        <f>-K5+N4</f>
        <v>1</v>
      </c>
    </row>
    <row r="6" ht="20.15" customHeight="1">
      <c r="B6" s="27"/>
      <c r="C6" s="15">
        <v>-18.9</v>
      </c>
      <c r="D6" s="16">
        <v>0.951</v>
      </c>
      <c r="E6" s="16">
        <f>G6-D6-C6</f>
        <v>25.912</v>
      </c>
      <c r="F6" s="16">
        <v>-2</v>
      </c>
      <c r="G6" s="16">
        <v>7.963</v>
      </c>
      <c r="H6" s="16">
        <v>-6.981</v>
      </c>
      <c r="I6" s="16"/>
      <c r="J6" s="16"/>
      <c r="K6" s="16">
        <v>0.092</v>
      </c>
      <c r="L6" s="16">
        <f>F6+G6</f>
        <v>5.963</v>
      </c>
      <c r="M6" s="16"/>
      <c r="N6" s="16">
        <f>-K6+N5</f>
        <v>0.908</v>
      </c>
    </row>
    <row r="7" ht="20.15" customHeight="1">
      <c r="B7" s="27"/>
      <c r="C7" s="15">
        <v>-27.3</v>
      </c>
      <c r="D7" s="16">
        <v>-0.142</v>
      </c>
      <c r="E7" s="16">
        <f>G7-D7-C7</f>
        <v>0.106</v>
      </c>
      <c r="F7" s="16">
        <v>-4</v>
      </c>
      <c r="G7" s="16">
        <v>-27.336</v>
      </c>
      <c r="H7" s="16">
        <v>3.782</v>
      </c>
      <c r="I7" s="16"/>
      <c r="J7" s="16"/>
      <c r="K7" s="16">
        <v>0.246</v>
      </c>
      <c r="L7" s="16">
        <f>F7+G7</f>
        <v>-31.336</v>
      </c>
      <c r="M7" s="16"/>
      <c r="N7" s="16">
        <f>-K7+N6</f>
        <v>0.662</v>
      </c>
    </row>
    <row r="8" ht="20.15" customHeight="1">
      <c r="B8" s="28">
        <v>2016</v>
      </c>
      <c r="C8" s="15">
        <v>-12.4</v>
      </c>
      <c r="D8" s="16">
        <v>5.32</v>
      </c>
      <c r="E8" s="16">
        <f>G8-D8-C8</f>
        <v>-3.42</v>
      </c>
      <c r="F8" s="16">
        <v>-3</v>
      </c>
      <c r="G8" s="16">
        <v>-10.5</v>
      </c>
      <c r="H8" s="16">
        <v>1.45</v>
      </c>
      <c r="I8" s="16"/>
      <c r="J8" s="16"/>
      <c r="K8" s="16">
        <v>-2.1</v>
      </c>
      <c r="L8" s="16">
        <f>F8+G8</f>
        <v>-13.5</v>
      </c>
      <c r="M8" s="16">
        <f>AVERAGE(L5:L8)</f>
        <v>-8.828250000000001</v>
      </c>
      <c r="N8" s="16">
        <f>-K8+N7</f>
        <v>2.762</v>
      </c>
    </row>
    <row r="9" ht="20.15" customHeight="1">
      <c r="B9" s="27"/>
      <c r="C9" s="15">
        <v>-4</v>
      </c>
      <c r="D9" s="16">
        <v>0.06</v>
      </c>
      <c r="E9" s="16">
        <f>G9-D9-C9</f>
        <v>18.14</v>
      </c>
      <c r="F9" s="16">
        <v>-3</v>
      </c>
      <c r="G9" s="16">
        <v>14.2</v>
      </c>
      <c r="H9" s="16">
        <v>-38.6</v>
      </c>
      <c r="I9" s="16"/>
      <c r="J9" s="16"/>
      <c r="K9" s="16">
        <v>-0.3</v>
      </c>
      <c r="L9" s="16">
        <f>F9+G9</f>
        <v>11.2</v>
      </c>
      <c r="M9" s="16">
        <f>AVERAGE(L6:L9)</f>
        <v>-6.91825</v>
      </c>
      <c r="N9" s="16">
        <f>-K9+N8</f>
        <v>3.062</v>
      </c>
    </row>
    <row r="10" ht="20.15" customHeight="1">
      <c r="B10" s="27"/>
      <c r="C10" s="15">
        <v>-3</v>
      </c>
      <c r="D10" s="16">
        <v>0.511</v>
      </c>
      <c r="E10" s="16">
        <f>G10-D10-C10</f>
        <v>1.43</v>
      </c>
      <c r="F10" s="16">
        <v>-13</v>
      </c>
      <c r="G10" s="16">
        <v>-1.059</v>
      </c>
      <c r="H10" s="16">
        <v>-7.977</v>
      </c>
      <c r="I10" s="16"/>
      <c r="J10" s="16"/>
      <c r="K10" s="16">
        <v>184.4</v>
      </c>
      <c r="L10" s="16">
        <f>F10+G10</f>
        <v>-14.059</v>
      </c>
      <c r="M10" s="16">
        <f>AVERAGE(L7:L10)</f>
        <v>-11.92375</v>
      </c>
      <c r="N10" s="16">
        <f>-K10+N9</f>
        <v>-181.338</v>
      </c>
    </row>
    <row r="11" ht="20.15" customHeight="1">
      <c r="B11" s="27"/>
      <c r="C11" s="15">
        <v>-9</v>
      </c>
      <c r="D11" s="16">
        <v>1.318</v>
      </c>
      <c r="E11" s="16">
        <f>G11-D11-C11</f>
        <v>25.1</v>
      </c>
      <c r="F11" s="16">
        <v>-3</v>
      </c>
      <c r="G11" s="16">
        <v>17.418</v>
      </c>
      <c r="H11" s="16">
        <v>-52.046</v>
      </c>
      <c r="I11" s="16"/>
      <c r="J11" s="16"/>
      <c r="K11" s="16">
        <v>-183</v>
      </c>
      <c r="L11" s="16">
        <f>F11+G11</f>
        <v>14.418</v>
      </c>
      <c r="M11" s="16">
        <f>AVERAGE(L8:L11)</f>
        <v>-0.48525</v>
      </c>
      <c r="N11" s="16">
        <f>-K11+N10</f>
        <v>1.662</v>
      </c>
    </row>
    <row r="12" ht="20.15" customHeight="1">
      <c r="B12" s="28">
        <v>2017</v>
      </c>
      <c r="C12" s="15">
        <v>-9.9</v>
      </c>
      <c r="D12" s="16">
        <v>7.31</v>
      </c>
      <c r="E12" s="16">
        <f>G12-D12-C12</f>
        <v>-19.24</v>
      </c>
      <c r="F12" s="16">
        <v>-26</v>
      </c>
      <c r="G12" s="16">
        <v>-21.83</v>
      </c>
      <c r="H12" s="16">
        <v>-42.28</v>
      </c>
      <c r="I12" s="16"/>
      <c r="J12" s="16"/>
      <c r="K12" s="16">
        <v>2.92</v>
      </c>
      <c r="L12" s="16">
        <f>F12+G12</f>
        <v>-47.83</v>
      </c>
      <c r="M12" s="16">
        <f>AVERAGE(L9:L12)</f>
        <v>-9.06775</v>
      </c>
      <c r="N12" s="16">
        <f>-K12+N11</f>
        <v>-1.258</v>
      </c>
    </row>
    <row r="13" ht="20.15" customHeight="1">
      <c r="B13" s="27"/>
      <c r="C13" s="15">
        <v>-7.7</v>
      </c>
      <c r="D13" s="16">
        <v>0.08</v>
      </c>
      <c r="E13" s="16">
        <f>G13-D13-C13</f>
        <v>47.41</v>
      </c>
      <c r="F13" s="16">
        <v>-13</v>
      </c>
      <c r="G13" s="16">
        <v>39.79</v>
      </c>
      <c r="H13" s="16">
        <v>20.3</v>
      </c>
      <c r="I13" s="16"/>
      <c r="J13" s="16"/>
      <c r="K13" s="16">
        <v>-1.65</v>
      </c>
      <c r="L13" s="16">
        <f>F13+G13</f>
        <v>26.79</v>
      </c>
      <c r="M13" s="16">
        <f>AVERAGE(L10:L13)</f>
        <v>-5.17025</v>
      </c>
      <c r="N13" s="16">
        <f>-K13+N12</f>
        <v>0.392</v>
      </c>
    </row>
    <row r="14" ht="20.15" customHeight="1">
      <c r="B14" s="27"/>
      <c r="C14" s="15">
        <v>-2.2</v>
      </c>
      <c r="D14" s="16">
        <v>0.41</v>
      </c>
      <c r="E14" s="16">
        <f>G14-D14-C14</f>
        <v>7.1</v>
      </c>
      <c r="F14" s="16">
        <v>-9</v>
      </c>
      <c r="G14" s="16">
        <v>5.31</v>
      </c>
      <c r="H14" s="16">
        <v>24.76</v>
      </c>
      <c r="I14" s="16"/>
      <c r="J14" s="16"/>
      <c r="K14" s="16">
        <v>1.19</v>
      </c>
      <c r="L14" s="16">
        <f>F14+G14</f>
        <v>-3.69</v>
      </c>
      <c r="M14" s="16">
        <f>AVERAGE(L11:L14)</f>
        <v>-2.578</v>
      </c>
      <c r="N14" s="16">
        <f>-K14+N13</f>
        <v>-0.798</v>
      </c>
    </row>
    <row r="15" ht="20.15" customHeight="1">
      <c r="B15" s="27"/>
      <c r="C15" s="15">
        <v>-7</v>
      </c>
      <c r="D15" s="16">
        <v>24.1</v>
      </c>
      <c r="E15" s="16">
        <f>G15-D15-C15</f>
        <v>0.93</v>
      </c>
      <c r="F15" s="16">
        <v>-29</v>
      </c>
      <c r="G15" s="16">
        <v>18.03</v>
      </c>
      <c r="H15" s="16">
        <v>-213.58</v>
      </c>
      <c r="I15" s="16"/>
      <c r="J15" s="16"/>
      <c r="K15" s="16">
        <v>302.04</v>
      </c>
      <c r="L15" s="16">
        <f>F15+G15</f>
        <v>-10.97</v>
      </c>
      <c r="M15" s="16">
        <f>AVERAGE(L12:L15)</f>
        <v>-8.925000000000001</v>
      </c>
      <c r="N15" s="16">
        <f>-K15+N14</f>
        <v>-302.838</v>
      </c>
    </row>
    <row r="16" ht="20.15" customHeight="1">
      <c r="B16" s="28">
        <v>2018</v>
      </c>
      <c r="C16" s="15">
        <v>-6.6</v>
      </c>
      <c r="D16" s="16">
        <v>10.7</v>
      </c>
      <c r="E16" s="16">
        <f>G16-D16-C16</f>
        <v>-8.4</v>
      </c>
      <c r="F16" s="16">
        <v>-35</v>
      </c>
      <c r="G16" s="16">
        <v>-4.3</v>
      </c>
      <c r="H16" s="16">
        <v>-56</v>
      </c>
      <c r="I16" s="16"/>
      <c r="J16" s="16"/>
      <c r="K16" s="16">
        <v>-8.9</v>
      </c>
      <c r="L16" s="16">
        <f>F16+G16</f>
        <v>-39.3</v>
      </c>
      <c r="M16" s="16">
        <f>AVERAGE(L13:L16)</f>
        <v>-6.7925</v>
      </c>
      <c r="N16" s="16">
        <f>-K16+N15</f>
        <v>-293.938</v>
      </c>
    </row>
    <row r="17" ht="20.15" customHeight="1">
      <c r="B17" s="27"/>
      <c r="C17" s="15">
        <v>-1.7</v>
      </c>
      <c r="D17" s="16">
        <v>10.8</v>
      </c>
      <c r="E17" s="16">
        <f>G17-D17-C17</f>
        <v>-15.2</v>
      </c>
      <c r="F17" s="16">
        <v>-55</v>
      </c>
      <c r="G17" s="16">
        <v>-6.1</v>
      </c>
      <c r="H17" s="16">
        <v>-61.1</v>
      </c>
      <c r="I17" s="16"/>
      <c r="J17" s="16"/>
      <c r="K17" s="16">
        <v>-3.8</v>
      </c>
      <c r="L17" s="16">
        <f>F17+G17</f>
        <v>-61.1</v>
      </c>
      <c r="M17" s="16">
        <f>AVERAGE(L14:L17)</f>
        <v>-28.765</v>
      </c>
      <c r="N17" s="16">
        <f>-K17+N16</f>
        <v>-290.138</v>
      </c>
    </row>
    <row r="18" ht="20.15" customHeight="1">
      <c r="B18" s="27"/>
      <c r="C18" s="15">
        <v>1.7</v>
      </c>
      <c r="D18" s="16">
        <v>11.6</v>
      </c>
      <c r="E18" s="16">
        <f>G18-D18-C18</f>
        <v>2.6</v>
      </c>
      <c r="F18" s="16">
        <v>-38</v>
      </c>
      <c r="G18" s="16">
        <v>15.9</v>
      </c>
      <c r="H18" s="16">
        <v>-26.6</v>
      </c>
      <c r="I18" s="16"/>
      <c r="J18" s="16"/>
      <c r="K18" s="16">
        <v>5.6</v>
      </c>
      <c r="L18" s="16">
        <f>F18+G18</f>
        <v>-22.1</v>
      </c>
      <c r="M18" s="16">
        <f>AVERAGE(L15:L18)</f>
        <v>-33.3675</v>
      </c>
      <c r="N18" s="16">
        <f>-K18+N17</f>
        <v>-295.738</v>
      </c>
    </row>
    <row r="19" ht="20.15" customHeight="1">
      <c r="B19" s="27"/>
      <c r="C19" s="15">
        <v>9.9</v>
      </c>
      <c r="D19" s="16">
        <v>11.8</v>
      </c>
      <c r="E19" s="16">
        <f>G19-D19-C19</f>
        <v>8.699999999999999</v>
      </c>
      <c r="F19" s="16">
        <v>-29</v>
      </c>
      <c r="G19" s="16">
        <v>30.4</v>
      </c>
      <c r="H19" s="16">
        <v>-40.8</v>
      </c>
      <c r="I19" s="16"/>
      <c r="J19" s="16"/>
      <c r="K19" s="16">
        <v>-1.6</v>
      </c>
      <c r="L19" s="16">
        <f>F19+G19</f>
        <v>1.4</v>
      </c>
      <c r="M19" s="16">
        <f>AVERAGE(L16:L19)</f>
        <v>-30.275</v>
      </c>
      <c r="N19" s="16">
        <f>-K19+N18</f>
        <v>-294.138</v>
      </c>
    </row>
    <row r="20" ht="20.15" customHeight="1">
      <c r="B20" s="28">
        <v>2019</v>
      </c>
      <c r="C20" s="15">
        <v>4.4</v>
      </c>
      <c r="D20" s="16">
        <v>12.7</v>
      </c>
      <c r="E20" s="16">
        <f>G20-D20-C20</f>
        <v>-10.7</v>
      </c>
      <c r="F20" s="16">
        <v>-44</v>
      </c>
      <c r="G20" s="16">
        <v>6.4</v>
      </c>
      <c r="H20" s="16">
        <v>7.6</v>
      </c>
      <c r="I20" s="16"/>
      <c r="J20" s="16"/>
      <c r="K20" s="16">
        <v>1.5</v>
      </c>
      <c r="L20" s="16">
        <f>F20+G20</f>
        <v>-37.6</v>
      </c>
      <c r="M20" s="16">
        <f>AVERAGE(L17:L20)</f>
        <v>-29.85</v>
      </c>
      <c r="N20" s="16">
        <f>-K20+N19</f>
        <v>-295.638</v>
      </c>
    </row>
    <row r="21" ht="20.15" customHeight="1">
      <c r="B21" s="27"/>
      <c r="C21" s="15">
        <v>1.4</v>
      </c>
      <c r="D21" s="16">
        <v>13.7</v>
      </c>
      <c r="E21" s="16">
        <f>G21-D21-C21</f>
        <v>-1.2</v>
      </c>
      <c r="F21" s="16">
        <v>-48</v>
      </c>
      <c r="G21" s="16">
        <v>13.9</v>
      </c>
      <c r="H21" s="16">
        <v>-39.4</v>
      </c>
      <c r="I21" s="16"/>
      <c r="J21" s="16"/>
      <c r="K21" s="16">
        <v>16.2</v>
      </c>
      <c r="L21" s="16">
        <f>F21+G21</f>
        <v>-34.1</v>
      </c>
      <c r="M21" s="16">
        <f>AVERAGE(L18:L21)</f>
        <v>-23.1</v>
      </c>
      <c r="N21" s="16">
        <f>-K21+N20</f>
        <v>-311.838</v>
      </c>
    </row>
    <row r="22" ht="20.15" customHeight="1">
      <c r="B22" s="27"/>
      <c r="C22" s="15">
        <v>0.8</v>
      </c>
      <c r="D22" s="16">
        <v>16.7</v>
      </c>
      <c r="E22" s="16">
        <f>G22-D22-C22</f>
        <v>13.7</v>
      </c>
      <c r="F22" s="16">
        <v>-23</v>
      </c>
      <c r="G22" s="16">
        <v>31.2</v>
      </c>
      <c r="H22" s="16">
        <v>12.2</v>
      </c>
      <c r="I22" s="16"/>
      <c r="J22" s="16"/>
      <c r="K22" s="16">
        <v>258.2</v>
      </c>
      <c r="L22" s="16">
        <f>F22+G22</f>
        <v>8.199999999999999</v>
      </c>
      <c r="M22" s="16">
        <f>AVERAGE(L19:L22)</f>
        <v>-15.525</v>
      </c>
      <c r="N22" s="16">
        <f>-K22+N21</f>
        <v>-570.038</v>
      </c>
    </row>
    <row r="23" ht="20.15" customHeight="1">
      <c r="B23" s="27"/>
      <c r="C23" s="15">
        <v>5</v>
      </c>
      <c r="D23" s="16">
        <v>20.4</v>
      </c>
      <c r="E23" s="16">
        <f>G23-D23-C23</f>
        <v>21.5</v>
      </c>
      <c r="F23" s="16">
        <v>-49</v>
      </c>
      <c r="G23" s="16">
        <v>46.9</v>
      </c>
      <c r="H23" s="16">
        <v>-54</v>
      </c>
      <c r="I23" s="16"/>
      <c r="J23" s="16"/>
      <c r="K23" s="16">
        <v>-202.4</v>
      </c>
      <c r="L23" s="16">
        <f>F23+G23</f>
        <v>-2.1</v>
      </c>
      <c r="M23" s="16">
        <f>AVERAGE(L20:L23)</f>
        <v>-16.4</v>
      </c>
      <c r="N23" s="16">
        <f>-K23+N22</f>
        <v>-367.638</v>
      </c>
    </row>
    <row r="24" ht="20.15" customHeight="1">
      <c r="B24" s="28">
        <v>2020</v>
      </c>
      <c r="C24" s="15">
        <v>-2.1</v>
      </c>
      <c r="D24" s="16">
        <v>20</v>
      </c>
      <c r="E24" s="16">
        <f>G24-D24-C24</f>
        <v>-21.5</v>
      </c>
      <c r="F24" s="16">
        <v>-27</v>
      </c>
      <c r="G24" s="16">
        <v>-3.6</v>
      </c>
      <c r="H24" s="16">
        <v>13.4</v>
      </c>
      <c r="I24" s="16"/>
      <c r="J24" s="16"/>
      <c r="K24" s="16">
        <v>-19</v>
      </c>
      <c r="L24" s="16">
        <f>F24+G24</f>
        <v>-30.6</v>
      </c>
      <c r="M24" s="16">
        <f>AVERAGE(L21:L24)</f>
        <v>-14.65</v>
      </c>
      <c r="N24" s="16">
        <f>-K24+N23</f>
        <v>-348.638</v>
      </c>
    </row>
    <row r="25" ht="20.15" customHeight="1">
      <c r="B25" s="27"/>
      <c r="C25" s="15">
        <v>14.4</v>
      </c>
      <c r="D25" s="16">
        <v>37.4</v>
      </c>
      <c r="E25" s="16">
        <f>G25-D25-C25</f>
        <v>-25.4</v>
      </c>
      <c r="F25" s="16">
        <v>-24</v>
      </c>
      <c r="G25" s="16">
        <v>26.4</v>
      </c>
      <c r="H25" s="16">
        <v>67.2</v>
      </c>
      <c r="I25" s="16"/>
      <c r="J25" s="16"/>
      <c r="K25" s="16">
        <v>483.9</v>
      </c>
      <c r="L25" s="16">
        <f>F25+G25</f>
        <v>2.4</v>
      </c>
      <c r="M25" s="16">
        <f>AVERAGE(L22:L25)</f>
        <v>-5.525</v>
      </c>
      <c r="N25" s="16">
        <f>-K25+N24</f>
        <v>-832.538</v>
      </c>
    </row>
    <row r="26" ht="20.15" customHeight="1">
      <c r="B26" s="27"/>
      <c r="C26" s="15">
        <v>11.6</v>
      </c>
      <c r="D26" s="16">
        <v>29.4</v>
      </c>
      <c r="E26" s="16">
        <f>G26-D26-C26</f>
        <v>21.2</v>
      </c>
      <c r="F26" s="16">
        <v>-38</v>
      </c>
      <c r="G26" s="16">
        <v>62.2</v>
      </c>
      <c r="H26" s="16">
        <v>-15.3</v>
      </c>
      <c r="I26" s="16"/>
      <c r="J26" s="16"/>
      <c r="K26" s="16">
        <v>10.1</v>
      </c>
      <c r="L26" s="16">
        <f>F26+G26</f>
        <v>24.2</v>
      </c>
      <c r="M26" s="16">
        <f>AVERAGE(L23:L26)</f>
        <v>-1.525</v>
      </c>
      <c r="N26" s="16">
        <f>-K26+N25</f>
        <v>-842.638</v>
      </c>
    </row>
    <row r="27" ht="20.15" customHeight="1">
      <c r="B27" s="27"/>
      <c r="C27" s="15">
        <v>-17.1</v>
      </c>
      <c r="D27" s="16">
        <v>53.6</v>
      </c>
      <c r="E27" s="16">
        <f>G27-D27-C27</f>
        <v>-37.5</v>
      </c>
      <c r="F27" s="16">
        <v>-40</v>
      </c>
      <c r="G27" s="16">
        <v>-1</v>
      </c>
      <c r="H27" s="16">
        <v>-51.3</v>
      </c>
      <c r="I27" s="16"/>
      <c r="J27" s="16"/>
      <c r="K27" s="16">
        <v>131</v>
      </c>
      <c r="L27" s="16">
        <f>F27+G27</f>
        <v>-41</v>
      </c>
      <c r="M27" s="16">
        <f>AVERAGE(L24:L27)</f>
        <v>-11.25</v>
      </c>
      <c r="N27" s="16">
        <f>-K27+N26</f>
        <v>-973.638</v>
      </c>
    </row>
    <row r="28" ht="20.15" customHeight="1">
      <c r="B28" s="28">
        <v>2021</v>
      </c>
      <c r="C28" s="15">
        <v>0</v>
      </c>
      <c r="D28" s="16">
        <v>38</v>
      </c>
      <c r="E28" s="16">
        <f>G28-D28-C28</f>
        <v>-73</v>
      </c>
      <c r="F28" s="16">
        <v>-33</v>
      </c>
      <c r="G28" s="16">
        <v>-35</v>
      </c>
      <c r="H28" s="16">
        <v>-23</v>
      </c>
      <c r="I28" s="16"/>
      <c r="J28" s="16"/>
      <c r="K28" s="16">
        <v>-28</v>
      </c>
      <c r="L28" s="16">
        <f>F28+G28</f>
        <v>-68</v>
      </c>
      <c r="M28" s="16">
        <f>AVERAGE(L25:L28)</f>
        <v>-20.6</v>
      </c>
      <c r="N28" s="16">
        <f>-K28+N27</f>
        <v>-945.638</v>
      </c>
    </row>
    <row r="29" ht="20.15" customHeight="1">
      <c r="B29" s="27"/>
      <c r="C29" s="15">
        <f>-25-C28</f>
        <v>-25</v>
      </c>
      <c r="D29" s="16">
        <f>28+23.5+17.6+40.1+3.2-D28</f>
        <v>74.40000000000001</v>
      </c>
      <c r="E29" s="16">
        <f>G29-D29-C29</f>
        <v>-31.2</v>
      </c>
      <c r="F29" s="16">
        <f>-52.8-F28</f>
        <v>-19.8</v>
      </c>
      <c r="G29" s="16">
        <f>-16.8-G28</f>
        <v>18.2</v>
      </c>
      <c r="H29" s="16">
        <f>-34.1-H28</f>
        <v>-11.1</v>
      </c>
      <c r="I29" s="16"/>
      <c r="J29" s="16"/>
      <c r="K29" s="16">
        <f>0-K28</f>
        <v>28</v>
      </c>
      <c r="L29" s="16">
        <f>F29+G29</f>
        <v>-1.6</v>
      </c>
      <c r="M29" s="16">
        <f>AVERAGE(L26:L29)</f>
        <v>-21.6</v>
      </c>
      <c r="N29" s="16">
        <f>-K29+N28</f>
        <v>-973.638</v>
      </c>
    </row>
    <row r="30" ht="20.15" customHeight="1">
      <c r="B30" s="27"/>
      <c r="C30" s="15">
        <f>-12.4-C29-C28</f>
        <v>12.6</v>
      </c>
      <c r="D30" s="16">
        <f>145.4-D29-D28</f>
        <v>33</v>
      </c>
      <c r="E30" s="16">
        <f>G30-D30-C30</f>
        <v>-71.40000000000001</v>
      </c>
      <c r="F30" s="16">
        <f>-80.1-F29-F28</f>
        <v>-27.3</v>
      </c>
      <c r="G30" s="16">
        <f>-42.6-G29-G28</f>
        <v>-25.8</v>
      </c>
      <c r="H30" s="16">
        <f>-46.3-H29-H28</f>
        <v>-12.2</v>
      </c>
      <c r="I30" s="16">
        <f>42.2-J30</f>
        <v>55.4</v>
      </c>
      <c r="J30" s="16">
        <f>14.4-27.6</f>
        <v>-13.2</v>
      </c>
      <c r="K30" s="16">
        <f>42.2-K29-K28</f>
        <v>42.2</v>
      </c>
      <c r="L30" s="16">
        <f>F30+G30</f>
        <v>-53.1</v>
      </c>
      <c r="M30" s="16">
        <f>AVERAGE(L27:L30)</f>
        <v>-40.925</v>
      </c>
      <c r="N30" s="16">
        <f>-K30+N29</f>
        <v>-1015.838</v>
      </c>
    </row>
    <row r="31" ht="20.15" customHeight="1">
      <c r="B31" s="27"/>
      <c r="C31" s="32"/>
      <c r="D31" s="16"/>
      <c r="E31" s="16"/>
      <c r="F31" s="16"/>
      <c r="G31" s="16"/>
      <c r="H31" s="16"/>
      <c r="I31" s="16"/>
      <c r="J31" s="16"/>
      <c r="K31" s="16"/>
      <c r="L31" s="16"/>
      <c r="M31" s="16">
        <f>SUM('Model'!F9:F10)</f>
        <v>27.643480103285</v>
      </c>
      <c r="N31" s="16">
        <f>'Model'!F32</f>
        <v>-916.5553841100379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3" customWidth="1"/>
    <col min="2" max="2" width="8.58594" style="33" customWidth="1"/>
    <col min="3" max="11" width="11.375" style="33" customWidth="1"/>
    <col min="12" max="16384" width="16.3516" style="33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49</v>
      </c>
      <c r="D3" t="s" s="4">
        <v>50</v>
      </c>
      <c r="E3" t="s" s="4">
        <v>22</v>
      </c>
      <c r="F3" t="s" s="4">
        <v>23</v>
      </c>
      <c r="G3" t="s" s="4">
        <v>11</v>
      </c>
      <c r="H3" t="s" s="4">
        <v>25</v>
      </c>
      <c r="I3" t="s" s="4">
        <v>51</v>
      </c>
      <c r="J3" t="s" s="4">
        <v>52</v>
      </c>
      <c r="K3" t="s" s="4">
        <v>34</v>
      </c>
    </row>
    <row r="4" ht="20.25" customHeight="1">
      <c r="B4" s="23">
        <v>2015</v>
      </c>
      <c r="C4" s="30">
        <v>145.6</v>
      </c>
      <c r="D4" s="31">
        <v>305.7</v>
      </c>
      <c r="E4" s="31">
        <f>D4-C4</f>
        <v>160.1</v>
      </c>
      <c r="F4" s="31"/>
      <c r="G4" s="31">
        <v>225</v>
      </c>
      <c r="H4" s="31">
        <v>80.7</v>
      </c>
      <c r="I4" s="31">
        <f>G4+H4-C4-E4</f>
        <v>0</v>
      </c>
      <c r="J4" s="31">
        <f>C4-G4</f>
        <v>-79.40000000000001</v>
      </c>
      <c r="K4" s="31"/>
    </row>
    <row r="5" ht="20.05" customHeight="1">
      <c r="B5" s="27"/>
      <c r="C5" s="15">
        <v>145.1</v>
      </c>
      <c r="D5" s="16">
        <v>300.4</v>
      </c>
      <c r="E5" s="16">
        <f>D5-C5</f>
        <v>155.3</v>
      </c>
      <c r="F5" s="16"/>
      <c r="G5" s="16">
        <v>230.1</v>
      </c>
      <c r="H5" s="16">
        <v>70.3</v>
      </c>
      <c r="I5" s="16">
        <f>G5+H5-C5-E5</f>
        <v>0</v>
      </c>
      <c r="J5" s="16">
        <f>C5-G5</f>
        <v>-85</v>
      </c>
      <c r="K5" s="16"/>
    </row>
    <row r="6" ht="20.05" customHeight="1">
      <c r="B6" s="27"/>
      <c r="C6" s="15">
        <v>145.5</v>
      </c>
      <c r="D6" s="16">
        <v>293.1</v>
      </c>
      <c r="E6" s="16">
        <f>D6-C6</f>
        <v>147.6</v>
      </c>
      <c r="F6" s="16"/>
      <c r="G6" s="16">
        <v>238</v>
      </c>
      <c r="H6" s="16">
        <v>55.1</v>
      </c>
      <c r="I6" s="16">
        <f>G6+H6-C6-E6</f>
        <v>0</v>
      </c>
      <c r="J6" s="16">
        <f>C6-G6</f>
        <v>-92.5</v>
      </c>
      <c r="K6" s="16"/>
    </row>
    <row r="7" ht="20.05" customHeight="1">
      <c r="B7" s="27"/>
      <c r="C7" s="15">
        <v>122.7</v>
      </c>
      <c r="D7" s="16">
        <v>275.1</v>
      </c>
      <c r="E7" s="16">
        <f>D7-C7</f>
        <v>152.4</v>
      </c>
      <c r="F7" s="16"/>
      <c r="G7" s="16">
        <v>241.1</v>
      </c>
      <c r="H7" s="16">
        <v>34.1</v>
      </c>
      <c r="I7" s="16">
        <f>G7+H7-C7-E7</f>
        <v>0.1</v>
      </c>
      <c r="J7" s="16">
        <f>C7-G7</f>
        <v>-118.4</v>
      </c>
      <c r="K7" s="16"/>
    </row>
    <row r="8" ht="20.05" customHeight="1">
      <c r="B8" s="28">
        <v>2016</v>
      </c>
      <c r="C8" s="15">
        <v>111.6</v>
      </c>
      <c r="D8" s="16">
        <v>254.8</v>
      </c>
      <c r="E8" s="16">
        <f>D8-C8</f>
        <v>143.2</v>
      </c>
      <c r="F8" s="16"/>
      <c r="G8" s="16">
        <v>228.4</v>
      </c>
      <c r="H8" s="16">
        <v>26.4</v>
      </c>
      <c r="I8" s="16">
        <f>G8+H8-C8-E8</f>
        <v>0</v>
      </c>
      <c r="J8" s="16">
        <f>C8-G8</f>
        <v>-116.8</v>
      </c>
      <c r="K8" s="16"/>
    </row>
    <row r="9" ht="20.05" customHeight="1">
      <c r="B9" s="27"/>
      <c r="C9" s="15">
        <v>75.7</v>
      </c>
      <c r="D9" s="16">
        <v>263</v>
      </c>
      <c r="E9" s="16">
        <f>D9-C9</f>
        <v>187.3</v>
      </c>
      <c r="F9" s="16"/>
      <c r="G9" s="16">
        <v>235.6</v>
      </c>
      <c r="H9" s="16">
        <v>27.4</v>
      </c>
      <c r="I9" s="16">
        <f>G9+H9-C9-E9</f>
        <v>0</v>
      </c>
      <c r="J9" s="16">
        <f>C9-G9</f>
        <v>-159.9</v>
      </c>
      <c r="K9" s="16"/>
    </row>
    <row r="10" ht="20.05" customHeight="1">
      <c r="B10" s="27"/>
      <c r="C10" s="15">
        <v>215.4</v>
      </c>
      <c r="D10" s="16">
        <v>453.2</v>
      </c>
      <c r="E10" s="16">
        <f>D10-C10</f>
        <v>237.8</v>
      </c>
      <c r="F10" s="16"/>
      <c r="G10" s="16">
        <v>388.1</v>
      </c>
      <c r="H10" s="16">
        <v>65.09999999999999</v>
      </c>
      <c r="I10" s="16">
        <f>G10+H10-C10-E10</f>
        <v>0</v>
      </c>
      <c r="J10" s="16">
        <f>C10-G10</f>
        <v>-172.7</v>
      </c>
      <c r="K10" s="16"/>
    </row>
    <row r="11" ht="20.05" customHeight="1">
      <c r="B11" s="27"/>
      <c r="C11" s="15">
        <v>137.2</v>
      </c>
      <c r="D11" s="16">
        <v>456.6</v>
      </c>
      <c r="E11" s="16">
        <f>D11-C11</f>
        <v>319.4</v>
      </c>
      <c r="F11" s="16"/>
      <c r="G11" s="16">
        <v>393.5</v>
      </c>
      <c r="H11" s="16">
        <v>63.2</v>
      </c>
      <c r="I11" s="16">
        <f>G11+H11-C11-E11</f>
        <v>0.1</v>
      </c>
      <c r="J11" s="16">
        <f>C11-G11</f>
        <v>-256.3</v>
      </c>
      <c r="K11" s="16"/>
    </row>
    <row r="12" ht="20.05" customHeight="1">
      <c r="B12" s="28">
        <v>2017</v>
      </c>
      <c r="C12" s="15">
        <v>76</v>
      </c>
      <c r="D12" s="16">
        <v>445</v>
      </c>
      <c r="E12" s="16">
        <f>D12-C12</f>
        <v>369</v>
      </c>
      <c r="F12" s="16"/>
      <c r="G12" s="16">
        <v>381.4</v>
      </c>
      <c r="H12" s="16">
        <v>63.6</v>
      </c>
      <c r="I12" s="16">
        <f>G12+H12-C12-E12</f>
        <v>0</v>
      </c>
      <c r="J12" s="16">
        <f>C12-G12</f>
        <v>-305.4</v>
      </c>
      <c r="K12" s="16"/>
    </row>
    <row r="13" ht="20.05" customHeight="1">
      <c r="B13" s="27"/>
      <c r="C13" s="15">
        <v>73.5</v>
      </c>
      <c r="D13" s="16">
        <v>459.3</v>
      </c>
      <c r="E13" s="16">
        <f>D13-C13</f>
        <v>385.8</v>
      </c>
      <c r="F13" s="16"/>
      <c r="G13" s="16">
        <v>394.6</v>
      </c>
      <c r="H13" s="16">
        <v>64.7</v>
      </c>
      <c r="I13" s="16">
        <f>G13+H13-C13-E13</f>
        <v>0</v>
      </c>
      <c r="J13" s="16">
        <f>C13-G13</f>
        <v>-321.1</v>
      </c>
      <c r="K13" s="16"/>
    </row>
    <row r="14" ht="20.05" customHeight="1">
      <c r="B14" s="27"/>
      <c r="C14" s="15">
        <v>102.2</v>
      </c>
      <c r="D14" s="16">
        <v>500.3</v>
      </c>
      <c r="E14" s="16">
        <f>D14-C14</f>
        <v>398.1</v>
      </c>
      <c r="F14" s="16"/>
      <c r="G14" s="16">
        <v>426.1</v>
      </c>
      <c r="H14" s="16">
        <v>74.2</v>
      </c>
      <c r="I14" s="16">
        <f>G14+H14-C14-E14</f>
        <v>0</v>
      </c>
      <c r="J14" s="16">
        <f>C14-G14</f>
        <v>-323.9</v>
      </c>
      <c r="K14" s="16"/>
    </row>
    <row r="15" ht="20.05" customHeight="1">
      <c r="B15" s="27"/>
      <c r="C15" s="15">
        <v>272.6</v>
      </c>
      <c r="D15" s="16">
        <v>816.7</v>
      </c>
      <c r="E15" s="16">
        <f>D15-C15</f>
        <v>544.1</v>
      </c>
      <c r="F15" s="16"/>
      <c r="G15" s="16">
        <v>658.2</v>
      </c>
      <c r="H15" s="16">
        <v>158.5</v>
      </c>
      <c r="I15" s="16">
        <f>G15+H15-C15-E15</f>
        <v>0</v>
      </c>
      <c r="J15" s="16">
        <f>C15-G15</f>
        <v>-385.6</v>
      </c>
      <c r="K15" s="16"/>
    </row>
    <row r="16" ht="20.05" customHeight="1">
      <c r="B16" s="28">
        <v>2018</v>
      </c>
      <c r="C16" s="15">
        <v>203.1</v>
      </c>
      <c r="D16" s="16">
        <v>829.8</v>
      </c>
      <c r="E16" s="16">
        <f>D16-C16</f>
        <v>626.7</v>
      </c>
      <c r="F16" s="16"/>
      <c r="G16" s="16">
        <v>659.2</v>
      </c>
      <c r="H16" s="16">
        <v>170.6</v>
      </c>
      <c r="I16" s="16">
        <f>G16+H16-C16-E16</f>
        <v>0</v>
      </c>
      <c r="J16" s="16">
        <f>C16-G16</f>
        <v>-456.1</v>
      </c>
      <c r="K16" s="16"/>
    </row>
    <row r="17" ht="20.05" customHeight="1">
      <c r="B17" s="27"/>
      <c r="C17" s="15">
        <v>136.2</v>
      </c>
      <c r="D17" s="16">
        <v>838.8</v>
      </c>
      <c r="E17" s="16">
        <f>D17-C17</f>
        <v>702.6</v>
      </c>
      <c r="F17" s="16"/>
      <c r="G17" s="16">
        <v>659.7</v>
      </c>
      <c r="H17" s="16">
        <v>179.1</v>
      </c>
      <c r="I17" s="16">
        <f>G17+H17-C17-E17</f>
        <v>0</v>
      </c>
      <c r="J17" s="16">
        <f>C17-G17</f>
        <v>-523.5</v>
      </c>
      <c r="K17" s="16"/>
    </row>
    <row r="18" ht="20.05" customHeight="1">
      <c r="B18" s="27"/>
      <c r="C18" s="15">
        <v>126.6</v>
      </c>
      <c r="D18" s="16">
        <v>886.3</v>
      </c>
      <c r="E18" s="16">
        <f>D18-C18</f>
        <v>759.7</v>
      </c>
      <c r="F18" s="16"/>
      <c r="G18" s="16">
        <v>688.4</v>
      </c>
      <c r="H18" s="16">
        <v>197.9</v>
      </c>
      <c r="I18" s="16">
        <f>G18+H18-C18-E18</f>
        <v>0</v>
      </c>
      <c r="J18" s="16">
        <f>C18-G18</f>
        <v>-561.8</v>
      </c>
      <c r="K18" s="16"/>
    </row>
    <row r="19" ht="20.05" customHeight="1">
      <c r="B19" s="27"/>
      <c r="C19" s="15">
        <v>113.9</v>
      </c>
      <c r="D19" s="16">
        <v>928.7</v>
      </c>
      <c r="E19" s="16">
        <f>D19-C19</f>
        <v>814.8</v>
      </c>
      <c r="F19" s="16"/>
      <c r="G19" s="16">
        <v>716.6</v>
      </c>
      <c r="H19" s="16">
        <v>212.1</v>
      </c>
      <c r="I19" s="16">
        <f>G19+H19-C19-E19</f>
        <v>0</v>
      </c>
      <c r="J19" s="16">
        <f>C19-G19</f>
        <v>-602.7</v>
      </c>
      <c r="K19" s="16"/>
    </row>
    <row r="20" ht="20.05" customHeight="1">
      <c r="B20" s="28">
        <v>2019</v>
      </c>
      <c r="C20" s="15">
        <v>129.3</v>
      </c>
      <c r="D20" s="16">
        <v>952.6</v>
      </c>
      <c r="E20" s="16">
        <f>D20-C20</f>
        <v>823.3</v>
      </c>
      <c r="F20" s="16"/>
      <c r="G20" s="16">
        <v>729</v>
      </c>
      <c r="H20" s="16">
        <v>223.6</v>
      </c>
      <c r="I20" s="16">
        <f>G20+H20-C20-E20</f>
        <v>0</v>
      </c>
      <c r="J20" s="16">
        <f>C20-G20</f>
        <v>-599.7</v>
      </c>
      <c r="K20" s="16"/>
    </row>
    <row r="21" ht="20.05" customHeight="1">
      <c r="B21" s="27"/>
      <c r="C21" s="15">
        <v>119.9</v>
      </c>
      <c r="D21" s="16">
        <v>977.7</v>
      </c>
      <c r="E21" s="16">
        <f>D21-C21</f>
        <v>857.8</v>
      </c>
      <c r="F21" s="16"/>
      <c r="G21" s="16">
        <v>727.9</v>
      </c>
      <c r="H21" s="16">
        <v>249.8</v>
      </c>
      <c r="I21" s="16">
        <f>G21+H21-C21-E21</f>
        <v>0</v>
      </c>
      <c r="J21" s="16">
        <f>C21-G21</f>
        <v>-608</v>
      </c>
      <c r="K21" s="16"/>
    </row>
    <row r="22" ht="20.05" customHeight="1">
      <c r="B22" s="27"/>
      <c r="C22" s="15">
        <v>419.9</v>
      </c>
      <c r="D22" s="16">
        <v>1268.4</v>
      </c>
      <c r="E22" s="16">
        <f>D22-C22</f>
        <v>848.5</v>
      </c>
      <c r="F22" s="16"/>
      <c r="G22" s="16">
        <v>1117.8</v>
      </c>
      <c r="H22" s="16">
        <v>150.6</v>
      </c>
      <c r="I22" s="16">
        <f>G22+H22-C22-E22</f>
        <v>0</v>
      </c>
      <c r="J22" s="16">
        <f>C22-G22</f>
        <v>-697.9</v>
      </c>
      <c r="K22" s="16"/>
    </row>
    <row r="23" ht="20.05" customHeight="1">
      <c r="B23" s="27"/>
      <c r="C23" s="15">
        <v>213.7</v>
      </c>
      <c r="D23" s="16">
        <v>1142.9</v>
      </c>
      <c r="E23" s="16">
        <f>D23-C23</f>
        <v>929.2</v>
      </c>
      <c r="F23" s="16"/>
      <c r="G23" s="16">
        <v>1067</v>
      </c>
      <c r="H23" s="16">
        <v>75.90000000000001</v>
      </c>
      <c r="I23" s="16">
        <f>G23+H23-C23-E23</f>
        <v>0</v>
      </c>
      <c r="J23" s="16">
        <f>C23-G23</f>
        <v>-853.3</v>
      </c>
      <c r="K23" s="16"/>
    </row>
    <row r="24" ht="20.05" customHeight="1">
      <c r="B24" s="28">
        <v>2020</v>
      </c>
      <c r="C24" s="15">
        <v>201.4</v>
      </c>
      <c r="D24" s="16">
        <v>1108.2</v>
      </c>
      <c r="E24" s="16">
        <f>D24-C24</f>
        <v>906.8</v>
      </c>
      <c r="F24" s="16"/>
      <c r="G24" s="16">
        <v>1049.2</v>
      </c>
      <c r="H24" s="16">
        <v>59</v>
      </c>
      <c r="I24" s="16">
        <f>G24+H24-C24-E24</f>
        <v>0</v>
      </c>
      <c r="J24" s="16">
        <f>C24-G24</f>
        <v>-847.8</v>
      </c>
      <c r="K24" s="16"/>
    </row>
    <row r="25" ht="20.05" customHeight="1">
      <c r="B25" s="27"/>
      <c r="C25" s="15">
        <v>779</v>
      </c>
      <c r="D25" s="16">
        <v>1627</v>
      </c>
      <c r="E25" s="16">
        <f>D25-C25</f>
        <v>848</v>
      </c>
      <c r="F25" s="16"/>
      <c r="G25" s="16">
        <v>1063</v>
      </c>
      <c r="H25" s="16">
        <v>563</v>
      </c>
      <c r="I25" s="16">
        <f>G25+H25-C25-E25</f>
        <v>-1</v>
      </c>
      <c r="J25" s="16">
        <f>C25-G25</f>
        <v>-284</v>
      </c>
      <c r="K25" s="16"/>
    </row>
    <row r="26" ht="20.05" customHeight="1">
      <c r="B26" s="27"/>
      <c r="C26" s="15">
        <v>897</v>
      </c>
      <c r="D26" s="16">
        <v>1711</v>
      </c>
      <c r="E26" s="16">
        <f>D26-C26</f>
        <v>814</v>
      </c>
      <c r="F26" s="16">
        <v>94.926</v>
      </c>
      <c r="G26" s="16">
        <v>1116</v>
      </c>
      <c r="H26" s="16">
        <v>595</v>
      </c>
      <c r="I26" s="16">
        <f>G26+H26-C26-E26</f>
        <v>0</v>
      </c>
      <c r="J26" s="16">
        <f>C26-G26</f>
        <v>-219</v>
      </c>
      <c r="K26" s="16"/>
    </row>
    <row r="27" ht="20.05" customHeight="1">
      <c r="B27" s="27"/>
      <c r="C27" s="15">
        <v>907</v>
      </c>
      <c r="D27" s="16">
        <v>1873</v>
      </c>
      <c r="E27" s="16">
        <f>D27-C27</f>
        <v>966</v>
      </c>
      <c r="F27" s="16">
        <f>F26+'Cashflow'!D27</f>
        <v>148.526</v>
      </c>
      <c r="G27" s="16">
        <v>1269</v>
      </c>
      <c r="H27" s="16">
        <v>604</v>
      </c>
      <c r="I27" s="16">
        <f>G27+H27-C27-E27</f>
        <v>0</v>
      </c>
      <c r="J27" s="16">
        <f>C27-G27</f>
        <v>-362</v>
      </c>
      <c r="K27" s="16"/>
    </row>
    <row r="28" ht="20.05" customHeight="1">
      <c r="B28" s="28">
        <v>2021</v>
      </c>
      <c r="C28" s="15">
        <v>850</v>
      </c>
      <c r="D28" s="16">
        <v>1840</v>
      </c>
      <c r="E28" s="16">
        <f>D28-C28</f>
        <v>990</v>
      </c>
      <c r="F28" s="16">
        <f>F27+'Cashflow'!D28</f>
        <v>186.526</v>
      </c>
      <c r="G28" s="16">
        <v>1255</v>
      </c>
      <c r="H28" s="16">
        <v>585</v>
      </c>
      <c r="I28" s="16">
        <f>G28+H28-C28-E28</f>
        <v>0</v>
      </c>
      <c r="J28" s="16">
        <f>C28-G28</f>
        <v>-405</v>
      </c>
      <c r="K28" s="16"/>
    </row>
    <row r="29" ht="20.05" customHeight="1">
      <c r="B29" s="27"/>
      <c r="C29" s="15">
        <v>872</v>
      </c>
      <c r="D29" s="16">
        <v>1924</v>
      </c>
      <c r="E29" s="16">
        <f>D29-C29</f>
        <v>1052</v>
      </c>
      <c r="F29" s="16">
        <f>F28+'Cashflow'!D29</f>
        <v>260.926</v>
      </c>
      <c r="G29" s="16">
        <v>1465</v>
      </c>
      <c r="H29" s="16">
        <v>459</v>
      </c>
      <c r="I29" s="16">
        <f>G29+H29-C29-E29</f>
        <v>0</v>
      </c>
      <c r="J29" s="16">
        <f>C29-G29</f>
        <v>-593</v>
      </c>
      <c r="K29" s="16"/>
    </row>
    <row r="30" ht="20.05" customHeight="1">
      <c r="B30" s="27"/>
      <c r="C30" s="15">
        <v>587.1</v>
      </c>
      <c r="D30" s="16">
        <v>1998.9</v>
      </c>
      <c r="E30" s="16">
        <f>D30-C30</f>
        <v>1411.8</v>
      </c>
      <c r="F30" s="16">
        <f>F29+'Cashflow'!D30</f>
        <v>293.926</v>
      </c>
      <c r="G30" s="16">
        <v>1501</v>
      </c>
      <c r="H30" s="16">
        <v>497.6</v>
      </c>
      <c r="I30" s="16">
        <f>G30+H30-C30-E30</f>
        <v>-0.3</v>
      </c>
      <c r="J30" s="16">
        <f>C30-G30</f>
        <v>-913.9</v>
      </c>
      <c r="K30" s="16">
        <f>J30</f>
        <v>-913.9</v>
      </c>
    </row>
    <row r="31" ht="20.05" customHeight="1">
      <c r="B31" s="27"/>
      <c r="C31" s="15"/>
      <c r="D31" s="16"/>
      <c r="E31" s="16"/>
      <c r="F31" s="16"/>
      <c r="G31" s="16"/>
      <c r="H31" s="16"/>
      <c r="I31" s="16"/>
      <c r="J31" s="16"/>
      <c r="K31" s="16">
        <f>'Model'!F30</f>
        <v>-891.1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4" customWidth="1"/>
    <col min="2" max="4" width="11.0547" style="34" customWidth="1"/>
    <col min="5" max="16384" width="16.3516" style="34" customWidth="1"/>
  </cols>
  <sheetData>
    <row r="1" ht="40" customHeight="1"/>
    <row r="2" ht="27.65" customHeight="1">
      <c r="B2" t="s" s="2">
        <v>53</v>
      </c>
      <c r="C2" s="2"/>
      <c r="D2" s="2"/>
    </row>
    <row r="3" ht="20.35" customHeight="1">
      <c r="B3" s="5"/>
      <c r="C3" t="s" s="35">
        <v>54</v>
      </c>
      <c r="D3" t="s" s="35">
        <v>55</v>
      </c>
    </row>
    <row r="4" ht="20.35" customHeight="1">
      <c r="B4" s="23">
        <v>2018</v>
      </c>
      <c r="C4" s="36">
        <v>86.68000000000001</v>
      </c>
      <c r="D4" s="37"/>
    </row>
    <row r="5" ht="20.05" customHeight="1">
      <c r="B5" s="27"/>
      <c r="C5" s="38">
        <v>85.7</v>
      </c>
      <c r="D5" s="39"/>
    </row>
    <row r="6" ht="20.05" customHeight="1">
      <c r="B6" s="27"/>
      <c r="C6" s="38">
        <v>105.95</v>
      </c>
      <c r="D6" s="39"/>
    </row>
    <row r="7" ht="20.05" customHeight="1">
      <c r="B7" s="27"/>
      <c r="C7" s="38">
        <v>79.31999999999999</v>
      </c>
      <c r="D7" s="39"/>
    </row>
    <row r="8" ht="20.05" customHeight="1">
      <c r="B8" s="28">
        <v>2019</v>
      </c>
      <c r="C8" s="38">
        <v>95.09</v>
      </c>
      <c r="D8" s="39"/>
    </row>
    <row r="9" ht="20.05" customHeight="1">
      <c r="B9" s="27"/>
      <c r="C9" s="38">
        <v>119.38</v>
      </c>
      <c r="D9" s="39"/>
    </row>
    <row r="10" ht="20.05" customHeight="1">
      <c r="B10" s="27"/>
      <c r="C10" s="38">
        <v>164.93</v>
      </c>
      <c r="D10" s="39"/>
    </row>
    <row r="11" ht="20.05" customHeight="1">
      <c r="B11" s="27"/>
      <c r="C11" s="40">
        <v>171.2</v>
      </c>
      <c r="D11" s="41"/>
    </row>
    <row r="12" ht="20.05" customHeight="1">
      <c r="B12" s="28">
        <v>2020</v>
      </c>
      <c r="C12" s="38">
        <v>165.68</v>
      </c>
      <c r="D12" s="20"/>
    </row>
    <row r="13" ht="20.05" customHeight="1">
      <c r="B13" s="27"/>
      <c r="C13" s="42">
        <v>194.259995</v>
      </c>
      <c r="D13" s="20"/>
    </row>
    <row r="14" ht="20.05" customHeight="1">
      <c r="B14" s="27"/>
      <c r="C14" s="15">
        <v>236.589996</v>
      </c>
      <c r="D14" s="20"/>
    </row>
    <row r="15" ht="20.05" customHeight="1">
      <c r="B15" s="27"/>
      <c r="C15" s="15">
        <v>255.630005</v>
      </c>
      <c r="D15" s="20"/>
    </row>
    <row r="16" ht="20.05" customHeight="1">
      <c r="B16" s="28">
        <v>2021</v>
      </c>
      <c r="C16" s="15">
        <v>260.920013</v>
      </c>
      <c r="D16" s="20"/>
    </row>
    <row r="17" ht="20.05" customHeight="1">
      <c r="B17" s="27"/>
      <c r="C17" s="15">
        <v>278.59</v>
      </c>
      <c r="D17" s="20"/>
    </row>
    <row r="18" ht="20.05" customHeight="1">
      <c r="B18" s="27"/>
      <c r="C18" s="15">
        <v>285.33</v>
      </c>
      <c r="D18" s="20"/>
    </row>
    <row r="19" ht="20.05" customHeight="1">
      <c r="B19" s="27"/>
      <c r="C19" s="15">
        <v>256.9</v>
      </c>
      <c r="D19" s="19">
        <f>C19</f>
        <v>256.9</v>
      </c>
    </row>
    <row r="20" ht="20.05" customHeight="1">
      <c r="B20" s="27"/>
      <c r="C20" s="15"/>
      <c r="D20" s="19">
        <f>'Model'!F42</f>
        <v>143.937381614736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