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Data" sheetId="2" r:id="rId5"/>
    <sheet name="Capital" sheetId="3" r:id="rId6"/>
  </sheets>
</workbook>
</file>

<file path=xl/sharedStrings.xml><?xml version="1.0" encoding="utf-8"?>
<sst xmlns="http://schemas.openxmlformats.org/spreadsheetml/2006/main" uniqueCount="49">
  <si>
    <t>Model</t>
  </si>
  <si>
    <t>$m</t>
  </si>
  <si>
    <t>Cashflow</t>
  </si>
  <si>
    <t xml:space="preserve">Growth </t>
  </si>
  <si>
    <t>Sales</t>
  </si>
  <si>
    <t>Cost ratio</t>
  </si>
  <si>
    <t>Cash costs</t>
  </si>
  <si>
    <t>Non cash costs</t>
  </si>
  <si>
    <t>Profit</t>
  </si>
  <si>
    <t xml:space="preserve">Operating </t>
  </si>
  <si>
    <t xml:space="preserve">Investment </t>
  </si>
  <si>
    <t xml:space="preserve">Liabilities </t>
  </si>
  <si>
    <t xml:space="preserve">Equity </t>
  </si>
  <si>
    <t xml:space="preserve">Before revolver </t>
  </si>
  <si>
    <t>Revolver</t>
  </si>
  <si>
    <t xml:space="preserve">Beginning </t>
  </si>
  <si>
    <t>Change</t>
  </si>
  <si>
    <t xml:space="preserve">Ending </t>
  </si>
  <si>
    <t>Balance sheet</t>
  </si>
  <si>
    <t>Other assets</t>
  </si>
  <si>
    <t xml:space="preserve">Depreciation </t>
  </si>
  <si>
    <t>Net other assets</t>
  </si>
  <si>
    <t xml:space="preserve">Revolver </t>
  </si>
  <si>
    <t>Check</t>
  </si>
  <si>
    <t>Net cash</t>
  </si>
  <si>
    <t xml:space="preserve">Valuation </t>
  </si>
  <si>
    <t xml:space="preserve">Capital </t>
  </si>
  <si>
    <t xml:space="preserve">Market value </t>
  </si>
  <si>
    <t>P/assets</t>
  </si>
  <si>
    <t>Yield</t>
  </si>
  <si>
    <t xml:space="preserve">Payback </t>
  </si>
  <si>
    <t xml:space="preserve">Forecast </t>
  </si>
  <si>
    <t>Shares</t>
  </si>
  <si>
    <t>Target</t>
  </si>
  <si>
    <t xml:space="preserve">Current </t>
  </si>
  <si>
    <t xml:space="preserve">V target </t>
  </si>
  <si>
    <t xml:space="preserve">12 month growth </t>
  </si>
  <si>
    <t>Data</t>
  </si>
  <si>
    <t xml:space="preserve">Working capital </t>
  </si>
  <si>
    <t>Others</t>
  </si>
  <si>
    <t>Beginning</t>
  </si>
  <si>
    <t>FX</t>
  </si>
  <si>
    <t>Ending</t>
  </si>
  <si>
    <t>Assets</t>
  </si>
  <si>
    <t xml:space="preserve">Net cash </t>
  </si>
  <si>
    <t>Free cashflow</t>
  </si>
  <si>
    <t>Capital</t>
  </si>
  <si>
    <t>PFE</t>
  </si>
  <si>
    <t>Total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</si>
</sst>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1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3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759225</xdr:colOff>
      <xdr:row>0</xdr:row>
      <xdr:rowOff>0</xdr:rowOff>
    </xdr:from>
    <xdr:to>
      <xdr:col>12</xdr:col>
      <xdr:colOff>66546</xdr:colOff>
      <xdr:row>41</xdr:row>
      <xdr:rowOff>151058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97825" y="-64663"/>
          <a:ext cx="8019522" cy="106926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9.11719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s="4"/>
      <c r="E2" s="4"/>
    </row>
    <row r="3" ht="20.25" customHeight="1">
      <c r="A3" t="s" s="5">
        <v>2</v>
      </c>
      <c r="B3" s="6">
        <f>AVERAGE('Data'!F3:I3)</f>
        <v>0.238995084360156</v>
      </c>
      <c r="C3" s="7"/>
      <c r="D3" s="7"/>
      <c r="E3" s="8">
        <f>AVERAGE(B4:E4)</f>
        <v>0.0125</v>
      </c>
    </row>
    <row r="4" ht="20.05" customHeight="1">
      <c r="A4" t="s" s="9">
        <v>3</v>
      </c>
      <c r="B4" s="10">
        <v>0.02</v>
      </c>
      <c r="C4" s="11">
        <v>-0.02</v>
      </c>
      <c r="D4" s="11">
        <v>0.02</v>
      </c>
      <c r="E4" s="11">
        <v>0.03</v>
      </c>
    </row>
    <row r="5" ht="20.05" customHeight="1">
      <c r="A5" t="s" s="9">
        <v>4</v>
      </c>
      <c r="B5" s="12">
        <f>'Data'!I4*(1+B4)</f>
        <v>24575.88</v>
      </c>
      <c r="C5" s="13">
        <f>B5*(1+C4)</f>
        <v>24084.3624</v>
      </c>
      <c r="D5" s="13">
        <f>C5*(1+D4)</f>
        <v>24566.049648</v>
      </c>
      <c r="E5" s="13">
        <f>D5*(1+E4)</f>
        <v>25303.03113744</v>
      </c>
    </row>
    <row r="6" ht="20.05" customHeight="1">
      <c r="A6" t="s" s="9">
        <v>5</v>
      </c>
      <c r="B6" s="14">
        <f>AVERAGE('Data'!G26:I26)</f>
        <v>-0.7071720639557461</v>
      </c>
      <c r="C6" s="15">
        <f>B6</f>
        <v>-0.7071720639557461</v>
      </c>
      <c r="D6" s="15">
        <f>C6</f>
        <v>-0.7071720639557461</v>
      </c>
      <c r="E6" s="15">
        <f>D6</f>
        <v>-0.7071720639557461</v>
      </c>
    </row>
    <row r="7" ht="20.05" customHeight="1">
      <c r="A7" t="s" s="9">
        <v>6</v>
      </c>
      <c r="B7" s="12">
        <f>B5*B6</f>
        <v>-17379.3757831287</v>
      </c>
      <c r="C7" s="13">
        <f>C5*C6</f>
        <v>-17031.7882674662</v>
      </c>
      <c r="D7" s="13">
        <f>D5*D6</f>
        <v>-17372.4240328155</v>
      </c>
      <c r="E7" s="13">
        <f>E5*E6</f>
        <v>-17893.5967538</v>
      </c>
    </row>
    <row r="8" ht="20.05" customHeight="1">
      <c r="A8" t="s" s="9">
        <v>7</v>
      </c>
      <c r="B8" s="12">
        <f>-AVERAGE('Data'!G7)</f>
        <v>-979</v>
      </c>
      <c r="C8" s="13">
        <f>B8</f>
        <v>-979</v>
      </c>
      <c r="D8" s="13">
        <f>C8</f>
        <v>-979</v>
      </c>
      <c r="E8" s="13">
        <f>D8</f>
        <v>-979</v>
      </c>
    </row>
    <row r="9" ht="20.05" customHeight="1">
      <c r="A9" t="s" s="9">
        <v>8</v>
      </c>
      <c r="B9" s="12">
        <f>B5+B7+B8</f>
        <v>6217.5042168713</v>
      </c>
      <c r="C9" s="13">
        <f>C5+C7+C8</f>
        <v>6073.5741325338</v>
      </c>
      <c r="D9" s="13">
        <f>D5+D7+D8</f>
        <v>6214.6256151845</v>
      </c>
      <c r="E9" s="13">
        <f>E5+E7+E8</f>
        <v>6430.43438364</v>
      </c>
    </row>
    <row r="10" ht="20.05" customHeight="1">
      <c r="A10" t="s" s="9">
        <v>9</v>
      </c>
      <c r="B10" s="12">
        <f>B5+B7</f>
        <v>7196.5042168713</v>
      </c>
      <c r="C10" s="13">
        <f>C5+C7</f>
        <v>7052.5741325338</v>
      </c>
      <c r="D10" s="13">
        <f>D5+D7</f>
        <v>7193.6256151845</v>
      </c>
      <c r="E10" s="13">
        <f>E5+E7</f>
        <v>7409.43438364</v>
      </c>
    </row>
    <row r="11" ht="20.05" customHeight="1">
      <c r="A11" t="s" s="9">
        <v>10</v>
      </c>
      <c r="B11" s="12">
        <f>AVERAGE('Data'!F10:I10)</f>
        <v>-2907.5</v>
      </c>
      <c r="C11" s="13">
        <f>B11</f>
        <v>-2907.5</v>
      </c>
      <c r="D11" s="13">
        <f>C11</f>
        <v>-2907.5</v>
      </c>
      <c r="E11" s="13">
        <f>D11</f>
        <v>-2907.5</v>
      </c>
    </row>
    <row r="12" ht="20.05" customHeight="1">
      <c r="A12" t="s" s="9">
        <v>11</v>
      </c>
      <c r="B12" s="12">
        <f>-'Data'!I21/20</f>
        <v>-5161.05</v>
      </c>
      <c r="C12" s="13">
        <f>-B23/20</f>
        <v>-4902.9975</v>
      </c>
      <c r="D12" s="13">
        <f>-C23/20</f>
        <v>-4657.847625</v>
      </c>
      <c r="E12" s="13">
        <f>-D23/20</f>
        <v>-4424.95524375</v>
      </c>
    </row>
    <row r="13" ht="20.05" customHeight="1">
      <c r="A13" t="s" s="9">
        <v>12</v>
      </c>
      <c r="B13" s="12">
        <f>IF(B9&gt;0,-B9*0.3,0)</f>
        <v>-1865.251265061390</v>
      </c>
      <c r="C13" s="13">
        <f>IF(C9&gt;0,-C9*0.3,0)</f>
        <v>-1822.072239760140</v>
      </c>
      <c r="D13" s="13">
        <f>IF(D9&gt;0,-D9*0.3,0)</f>
        <v>-1864.387684555350</v>
      </c>
      <c r="E13" s="13">
        <f>IF(E9&gt;0,-E9*0.3,0)</f>
        <v>-1929.130315092</v>
      </c>
    </row>
    <row r="14" ht="20.05" customHeight="1">
      <c r="A14" t="s" s="9">
        <v>13</v>
      </c>
      <c r="B14" s="12">
        <f>B10+B11+B12+B13</f>
        <v>-2737.297048190090</v>
      </c>
      <c r="C14" s="13">
        <f>C10+C11+C12+C13</f>
        <v>-2579.995607226340</v>
      </c>
      <c r="D14" s="13">
        <f>D10+D11+D12+D13</f>
        <v>-2236.109694370850</v>
      </c>
      <c r="E14" s="13">
        <f>E10+E11+E12+E13</f>
        <v>-1852.151175202</v>
      </c>
    </row>
    <row r="15" ht="20.05" customHeight="1">
      <c r="A15" t="s" s="9">
        <v>14</v>
      </c>
      <c r="B15" s="12">
        <f>-MIN(0,B14)</f>
        <v>2737.297048190090</v>
      </c>
      <c r="C15" s="13">
        <f>-MIN(B24,C14)</f>
        <v>2579.995607226340</v>
      </c>
      <c r="D15" s="13">
        <f>-MIN(C24,D14)</f>
        <v>2236.109694370850</v>
      </c>
      <c r="E15" s="13">
        <f>-MIN(D24,E14)</f>
        <v>1852.151175202</v>
      </c>
    </row>
    <row r="16" ht="20.05" customHeight="1">
      <c r="A16" t="s" s="9">
        <v>15</v>
      </c>
      <c r="B16" s="12">
        <f>'Data'!I17</f>
        <v>2033</v>
      </c>
      <c r="C16" s="13">
        <f>B18</f>
        <v>2033</v>
      </c>
      <c r="D16" s="13">
        <f>C18</f>
        <v>2033</v>
      </c>
      <c r="E16" s="13">
        <f>D18</f>
        <v>2033</v>
      </c>
    </row>
    <row r="17" ht="20.05" customHeight="1">
      <c r="A17" t="s" s="9">
        <v>16</v>
      </c>
      <c r="B17" s="12">
        <f>B10+B11+B12+B13+B15</f>
        <v>0</v>
      </c>
      <c r="C17" s="13">
        <f>C10+C11+C12+C13+C15</f>
        <v>0</v>
      </c>
      <c r="D17" s="13">
        <f>D10+D11+D12+D13+D15</f>
        <v>0</v>
      </c>
      <c r="E17" s="13">
        <f>E10+E11+E12+E13+E15</f>
        <v>0</v>
      </c>
    </row>
    <row r="18" ht="20.05" customHeight="1">
      <c r="A18" t="s" s="9">
        <v>17</v>
      </c>
      <c r="B18" s="12">
        <f>B16+B17</f>
        <v>2033</v>
      </c>
      <c r="C18" s="13">
        <f>C16+C17</f>
        <v>2033</v>
      </c>
      <c r="D18" s="13">
        <f>D16+D17</f>
        <v>2033</v>
      </c>
      <c r="E18" s="13">
        <f>E16+E17</f>
        <v>2033</v>
      </c>
    </row>
    <row r="19" ht="20.05" customHeight="1">
      <c r="A19" t="s" s="16">
        <v>18</v>
      </c>
      <c r="B19" s="12"/>
      <c r="C19" s="13"/>
      <c r="D19" s="13"/>
      <c r="E19" s="13"/>
    </row>
    <row r="20" ht="20.05" customHeight="1">
      <c r="A20" t="s" s="9">
        <v>19</v>
      </c>
      <c r="B20" s="12">
        <f>'Data'!I19+'Data'!I20-B11</f>
        <v>180062.5</v>
      </c>
      <c r="C20" s="13">
        <f>B20-C11</f>
        <v>182970</v>
      </c>
      <c r="D20" s="13">
        <f>C20-D11</f>
        <v>185877.5</v>
      </c>
      <c r="E20" s="13">
        <f>D20-E11</f>
        <v>188785</v>
      </c>
    </row>
    <row r="21" ht="20.05" customHeight="1">
      <c r="A21" t="s" s="9">
        <v>20</v>
      </c>
      <c r="B21" s="12">
        <f>'Data'!I20-B8</f>
        <v>979</v>
      </c>
      <c r="C21" s="13">
        <f>B21-C8</f>
        <v>1958</v>
      </c>
      <c r="D21" s="13">
        <f>C21-D8</f>
        <v>2937</v>
      </c>
      <c r="E21" s="13">
        <f>D21-E8</f>
        <v>3916</v>
      </c>
    </row>
    <row r="22" ht="20.05" customHeight="1">
      <c r="A22" t="s" s="9">
        <v>21</v>
      </c>
      <c r="B22" s="12">
        <f>B20-B21</f>
        <v>179083.5</v>
      </c>
      <c r="C22" s="13">
        <f>C20-C21</f>
        <v>181012</v>
      </c>
      <c r="D22" s="13">
        <f>D20-D21</f>
        <v>182940.5</v>
      </c>
      <c r="E22" s="13">
        <f>E20-E21</f>
        <v>184869</v>
      </c>
    </row>
    <row r="23" ht="20.05" customHeight="1">
      <c r="A23" t="s" s="9">
        <v>11</v>
      </c>
      <c r="B23" s="12">
        <f>'Data'!I21+B12</f>
        <v>98059.95</v>
      </c>
      <c r="C23" s="13">
        <f>B23+C12</f>
        <v>93156.9525</v>
      </c>
      <c r="D23" s="13">
        <f>C23+D12</f>
        <v>88499.104875</v>
      </c>
      <c r="E23" s="13">
        <f>D23+E12</f>
        <v>84074.149631249995</v>
      </c>
    </row>
    <row r="24" ht="20.05" customHeight="1">
      <c r="A24" t="s" s="9">
        <v>22</v>
      </c>
      <c r="B24" s="12">
        <f>B15</f>
        <v>2737.297048190090</v>
      </c>
      <c r="C24" s="13">
        <f>B24+C15</f>
        <v>5317.292655416430</v>
      </c>
      <c r="D24" s="13">
        <f>C24+D15</f>
        <v>7553.402349787280</v>
      </c>
      <c r="E24" s="13">
        <f>D24+E15</f>
        <v>9405.553524989280</v>
      </c>
    </row>
    <row r="25" ht="20.05" customHeight="1">
      <c r="A25" t="s" s="9">
        <v>12</v>
      </c>
      <c r="B25" s="12">
        <f>'Data'!I22+B9+B13</f>
        <v>80319.2529518099</v>
      </c>
      <c r="C25" s="13">
        <f>B25+C9+C13</f>
        <v>84570.7548445836</v>
      </c>
      <c r="D25" s="13">
        <f>C25+D9+D13</f>
        <v>88920.9927752128</v>
      </c>
      <c r="E25" s="13">
        <f>D25+E9+E13</f>
        <v>93422.296843760807</v>
      </c>
    </row>
    <row r="26" ht="20.05" customHeight="1">
      <c r="A26" t="s" s="9">
        <v>23</v>
      </c>
      <c r="B26" s="12">
        <f>B23+B24+B25-B18-B22</f>
        <v>-9.999999999999999e-12</v>
      </c>
      <c r="C26" s="13">
        <f>C23+C24+C25-C18-C22</f>
        <v>3e-11</v>
      </c>
      <c r="D26" s="13">
        <f>D23+D24+D25-D18-D22</f>
        <v>8e-11</v>
      </c>
      <c r="E26" s="13">
        <f>E23+E24+E25-E18-E22</f>
        <v>8e-11</v>
      </c>
    </row>
    <row r="27" ht="20.05" customHeight="1">
      <c r="A27" t="s" s="9">
        <v>24</v>
      </c>
      <c r="B27" s="12">
        <f>B18-B23-B24</f>
        <v>-98764.2470481901</v>
      </c>
      <c r="C27" s="13">
        <f>C18-C23-C24</f>
        <v>-96441.2451554164</v>
      </c>
      <c r="D27" s="13">
        <f>D18-D23-D24</f>
        <v>-94019.5072247873</v>
      </c>
      <c r="E27" s="13">
        <f>E18-E23-E24</f>
        <v>-91446.703156239295</v>
      </c>
    </row>
    <row r="28" ht="20.05" customHeight="1">
      <c r="A28" t="s" s="16">
        <v>25</v>
      </c>
      <c r="B28" s="12"/>
      <c r="C28" s="13"/>
      <c r="D28" s="13"/>
      <c r="E28" s="13"/>
    </row>
    <row r="29" ht="20.05" customHeight="1">
      <c r="A29" t="s" s="9">
        <v>26</v>
      </c>
      <c r="B29" s="12">
        <f>'Data'!I29-(B12+B13)</f>
        <v>158451.301265061</v>
      </c>
      <c r="C29" s="13">
        <f>B29-(C12+C13)</f>
        <v>165176.371004821</v>
      </c>
      <c r="D29" s="13">
        <f>C29-(D12+D13)</f>
        <v>171698.606314376</v>
      </c>
      <c r="E29" s="13">
        <f>D29-(E12+E13)</f>
        <v>178052.691873218</v>
      </c>
    </row>
    <row r="30" ht="20.05" customHeight="1">
      <c r="A30" t="s" s="9">
        <v>27</v>
      </c>
      <c r="B30" s="12"/>
      <c r="C30" s="13"/>
      <c r="D30" s="13"/>
      <c r="E30" s="13">
        <v>312700</v>
      </c>
    </row>
    <row r="31" ht="20.05" customHeight="1">
      <c r="A31" t="s" s="9">
        <v>28</v>
      </c>
      <c r="B31" s="12"/>
      <c r="C31" s="13"/>
      <c r="D31" s="13"/>
      <c r="E31" s="17">
        <f>E30/(E18+E22)</f>
        <v>1.67306930904966</v>
      </c>
    </row>
    <row r="32" ht="20.05" customHeight="1">
      <c r="A32" t="s" s="9">
        <v>29</v>
      </c>
      <c r="B32" s="12"/>
      <c r="C32" s="13"/>
      <c r="D32" s="13"/>
      <c r="E32" s="18">
        <f>-(B13+C13+D13+E13)/E30</f>
        <v>0.0239233818499165</v>
      </c>
    </row>
    <row r="33" ht="20.05" customHeight="1">
      <c r="A33" t="s" s="9">
        <v>2</v>
      </c>
      <c r="B33" s="12"/>
      <c r="C33" s="13"/>
      <c r="D33" s="13"/>
      <c r="E33" s="13">
        <f>SUM(B10:E11)</f>
        <v>17222.1383482296</v>
      </c>
    </row>
    <row r="34" ht="20.05" customHeight="1">
      <c r="A34" t="s" s="9">
        <v>30</v>
      </c>
      <c r="B34" s="12"/>
      <c r="C34" s="13"/>
      <c r="D34" s="13"/>
      <c r="E34" s="13">
        <f>'Data'!I19/E33</f>
        <v>10.2864694510024</v>
      </c>
    </row>
    <row r="35" ht="20.05" customHeight="1">
      <c r="A35" t="s" s="9">
        <v>25</v>
      </c>
      <c r="B35" s="12"/>
      <c r="C35" s="13"/>
      <c r="D35" s="13"/>
      <c r="E35" s="13">
        <f>E30/E33</f>
        <v>18.1568626193358</v>
      </c>
    </row>
    <row r="36" ht="20.05" customHeight="1">
      <c r="A36" t="s" s="9">
        <v>31</v>
      </c>
      <c r="B36" s="12"/>
      <c r="C36" s="13"/>
      <c r="D36" s="13"/>
      <c r="E36" s="13">
        <v>16</v>
      </c>
    </row>
    <row r="37" ht="20.05" customHeight="1">
      <c r="A37" t="s" s="9">
        <v>32</v>
      </c>
      <c r="B37" s="12"/>
      <c r="C37" s="13"/>
      <c r="D37" s="13"/>
      <c r="E37" s="13">
        <f>E30/E39</f>
        <v>5611.988513998560</v>
      </c>
    </row>
    <row r="38" ht="20.05" customHeight="1">
      <c r="A38" t="s" s="9">
        <v>33</v>
      </c>
      <c r="B38" s="12"/>
      <c r="C38" s="13"/>
      <c r="D38" s="13"/>
      <c r="E38" s="13">
        <f>(E33*E36)/E37</f>
        <v>49.1009938606129</v>
      </c>
    </row>
    <row r="39" ht="20.05" customHeight="1">
      <c r="A39" t="s" s="9">
        <v>34</v>
      </c>
      <c r="B39" s="12"/>
      <c r="C39" s="13"/>
      <c r="D39" s="13"/>
      <c r="E39" s="13">
        <f>'Data'!K30</f>
        <v>55.72</v>
      </c>
    </row>
    <row r="40" ht="20.05" customHeight="1">
      <c r="A40" t="s" s="9">
        <v>35</v>
      </c>
      <c r="B40" s="12"/>
      <c r="C40" s="13"/>
      <c r="D40" s="13"/>
      <c r="E40" s="15">
        <f>E38/E39-1</f>
        <v>-0.118790490656624</v>
      </c>
    </row>
    <row r="41" ht="20.05" customHeight="1">
      <c r="A41" t="s" s="9">
        <v>36</v>
      </c>
      <c r="B41" s="12"/>
      <c r="C41" s="13"/>
      <c r="D41" s="13"/>
      <c r="E41" s="15">
        <f>'Data'!I4/'Data'!E4-1</f>
        <v>1.34445849956213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M3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4375" style="19" customWidth="1"/>
    <col min="2" max="13" width="10.1094" style="19" customWidth="1"/>
    <col min="14" max="16384" width="16.3516" style="19" customWidth="1"/>
  </cols>
  <sheetData>
    <row r="1" ht="27.65" customHeight="1">
      <c r="A1" t="s" s="2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25" customHeight="1">
      <c r="A2" s="4"/>
      <c r="B2" s="4"/>
      <c r="C2" s="20">
        <v>2020</v>
      </c>
      <c r="D2" s="4"/>
      <c r="E2" s="4"/>
      <c r="F2" s="4"/>
      <c r="G2" s="20">
        <v>2021</v>
      </c>
      <c r="H2" s="4"/>
      <c r="I2" s="4"/>
      <c r="J2" s="4"/>
      <c r="K2" s="20">
        <v>2022</v>
      </c>
      <c r="L2" s="4"/>
      <c r="M2" s="4"/>
    </row>
    <row r="3" ht="20.25" customHeight="1">
      <c r="A3" s="21"/>
      <c r="B3" s="22"/>
      <c r="C3" s="7"/>
      <c r="D3" s="23">
        <f>D4/C4-1</f>
        <v>-0.0217197262719429</v>
      </c>
      <c r="E3" s="23">
        <f>E4/D4-1</f>
        <v>0.0418694241686942</v>
      </c>
      <c r="F3" s="23">
        <f>F4/E4-1</f>
        <v>0.136907657876812</v>
      </c>
      <c r="G3" s="23">
        <f>G4/F4-1</f>
        <v>0.248031496062992</v>
      </c>
      <c r="H3" s="23">
        <f>H4/G4-1</f>
        <v>0.301398985050062</v>
      </c>
      <c r="I3" s="23">
        <f>I4/H4-1</f>
        <v>0.269642198450756</v>
      </c>
      <c r="J3" s="23"/>
      <c r="K3" s="23"/>
      <c r="L3" s="23"/>
      <c r="M3" s="23"/>
    </row>
    <row r="4" ht="20.05" customHeight="1">
      <c r="A4" t="s" s="16">
        <v>4</v>
      </c>
      <c r="B4" s="12"/>
      <c r="C4" s="13">
        <v>10083</v>
      </c>
      <c r="D4" s="13">
        <v>9864</v>
      </c>
      <c r="E4" s="13">
        <v>10277</v>
      </c>
      <c r="F4" s="13">
        <f>41908-E4-D4-C4</f>
        <v>11684</v>
      </c>
      <c r="G4" s="13">
        <v>14582</v>
      </c>
      <c r="H4" s="13">
        <v>18977</v>
      </c>
      <c r="I4" s="13">
        <v>24094</v>
      </c>
      <c r="J4" s="13"/>
      <c r="K4" s="13"/>
      <c r="L4" s="13"/>
      <c r="M4" s="13"/>
    </row>
    <row r="5" ht="20.05" customHeight="1">
      <c r="A5" t="s" s="16">
        <v>31</v>
      </c>
      <c r="B5" s="12"/>
      <c r="C5" s="13"/>
      <c r="D5" s="13"/>
      <c r="E5" s="13"/>
      <c r="F5" s="13"/>
      <c r="G5" s="13"/>
      <c r="H5" s="13"/>
      <c r="I5" s="13"/>
      <c r="J5" s="13">
        <f>'Model'!B5</f>
        <v>24575.88</v>
      </c>
      <c r="K5" s="13">
        <f>'Model'!C5</f>
        <v>24084.3624</v>
      </c>
      <c r="L5" s="13">
        <f>'Model'!D5</f>
        <v>24566.049648</v>
      </c>
      <c r="M5" s="13">
        <f>'Model'!E5</f>
        <v>25303.03113744</v>
      </c>
    </row>
    <row r="6" ht="20.05" customHeight="1">
      <c r="A6" t="s" s="16">
        <v>8</v>
      </c>
      <c r="B6" s="12"/>
      <c r="C6" s="13">
        <v>2483</v>
      </c>
      <c r="D6" s="13">
        <f>5907-C6</f>
        <v>3424</v>
      </c>
      <c r="E6" s="13">
        <f>6004-D6-C6</f>
        <v>97</v>
      </c>
      <c r="F6" s="13">
        <f>7021-E6-D6-C6</f>
        <v>1017</v>
      </c>
      <c r="G6" s="13">
        <v>4877</v>
      </c>
      <c r="H6" s="13">
        <f>10443-G6</f>
        <v>5566</v>
      </c>
      <c r="I6" s="13">
        <f>18610-H6-G6</f>
        <v>8167</v>
      </c>
      <c r="J6" s="13"/>
      <c r="K6" s="13"/>
      <c r="L6" s="13"/>
      <c r="M6" s="13"/>
    </row>
    <row r="7" ht="20.05" customHeight="1">
      <c r="A7" t="s" s="16">
        <v>7</v>
      </c>
      <c r="B7" s="12"/>
      <c r="C7" s="13">
        <f>C9-C8-C6</f>
        <v>2165</v>
      </c>
      <c r="D7" s="13">
        <f>D9-D8-D6</f>
        <v>672</v>
      </c>
      <c r="E7" s="13">
        <f>E9-E8-E6</f>
        <v>2793</v>
      </c>
      <c r="F7" s="13">
        <f>3840-E7-D7-C7</f>
        <v>-1790</v>
      </c>
      <c r="G7" s="13">
        <v>979</v>
      </c>
      <c r="H7" s="13">
        <f>988-G7</f>
        <v>9</v>
      </c>
      <c r="I7" s="13">
        <f>-2767-H7-G7</f>
        <v>-3755</v>
      </c>
      <c r="J7" s="13"/>
      <c r="K7" s="13"/>
      <c r="L7" s="13"/>
      <c r="M7" s="13"/>
    </row>
    <row r="8" ht="20.05" customHeight="1">
      <c r="A8" t="s" s="16">
        <v>38</v>
      </c>
      <c r="B8" s="24"/>
      <c r="C8" s="13">
        <v>-1515</v>
      </c>
      <c r="D8" s="13">
        <f>-2056-C8</f>
        <v>-541</v>
      </c>
      <c r="E8" s="13">
        <f>-2856-D8-C8</f>
        <v>-800</v>
      </c>
      <c r="F8" s="13">
        <f>F9-F7-F6</f>
        <v>6398</v>
      </c>
      <c r="G8" s="13">
        <f>G9-G7-G6</f>
        <v>-1318</v>
      </c>
      <c r="H8" s="13">
        <f>H9-H7-H6</f>
        <v>5724</v>
      </c>
      <c r="I8" s="13">
        <f>I9-I7-I6</f>
        <v>6411</v>
      </c>
      <c r="J8" s="13"/>
      <c r="K8" s="13"/>
      <c r="L8" s="13"/>
      <c r="M8" s="13"/>
    </row>
    <row r="9" ht="20.05" customHeight="1">
      <c r="A9" t="s" s="16">
        <v>9</v>
      </c>
      <c r="B9" s="24"/>
      <c r="C9" s="13">
        <v>3133</v>
      </c>
      <c r="D9" s="13">
        <f>6688-C9</f>
        <v>3555</v>
      </c>
      <c r="E9" s="13">
        <f>8778-D9-C9</f>
        <v>2090</v>
      </c>
      <c r="F9" s="13">
        <f>14403-E9-D9-C9</f>
        <v>5625</v>
      </c>
      <c r="G9" s="13">
        <v>4538</v>
      </c>
      <c r="H9" s="13">
        <f>15837-G9</f>
        <v>11299</v>
      </c>
      <c r="I9" s="13">
        <f>26660-H9-G9</f>
        <v>10823</v>
      </c>
      <c r="J9" s="13"/>
      <c r="K9" s="13"/>
      <c r="L9" s="13"/>
      <c r="M9" s="13"/>
    </row>
    <row r="10" ht="20.05" customHeight="1">
      <c r="A10" t="s" s="16">
        <v>10</v>
      </c>
      <c r="B10" s="24"/>
      <c r="C10" s="13">
        <v>-71</v>
      </c>
      <c r="D10" s="13">
        <f>-13082-C10</f>
        <v>-13011</v>
      </c>
      <c r="E10" s="13">
        <f>-12601-D10-C10</f>
        <v>481</v>
      </c>
      <c r="F10" s="13">
        <f>-4271-E10-D10-C10</f>
        <v>8330</v>
      </c>
      <c r="G10" s="13">
        <v>-1747</v>
      </c>
      <c r="H10" s="13">
        <f>-9884-G10</f>
        <v>-8137</v>
      </c>
      <c r="I10" s="13">
        <f>-19960-H10-G10</f>
        <v>-10076</v>
      </c>
      <c r="J10" s="13"/>
      <c r="K10" s="13"/>
      <c r="L10" s="13"/>
      <c r="M10" s="13"/>
    </row>
    <row r="11" ht="20.05" customHeight="1">
      <c r="A11" t="s" s="16">
        <v>11</v>
      </c>
      <c r="B11" s="24"/>
      <c r="C11" s="13">
        <f>5302-7551+3207+1241-2181</f>
        <v>18</v>
      </c>
      <c r="D11" s="13">
        <f>12352-13166-2314+5194-2181-C11</f>
        <v>-133</v>
      </c>
      <c r="E11" s="13">
        <f>12352-17449+1624+5222-2511-D11-C11</f>
        <v>-647</v>
      </c>
      <c r="F11" s="13">
        <f>-12755-E11-D11-C11</f>
        <v>-11993</v>
      </c>
      <c r="G11" s="13">
        <v>-25</v>
      </c>
      <c r="H11" s="13">
        <f>-499-G11</f>
        <v>-474</v>
      </c>
      <c r="I11" s="13">
        <f>-1+265+997-1001-H11-G11</f>
        <v>759</v>
      </c>
      <c r="J11" s="13"/>
      <c r="K11" s="13"/>
      <c r="L11" s="13"/>
      <c r="M11" s="13"/>
    </row>
    <row r="12" ht="20.05" customHeight="1">
      <c r="A12" t="s" s="16">
        <v>12</v>
      </c>
      <c r="B12" s="24"/>
      <c r="C12" s="13">
        <v>-2105</v>
      </c>
      <c r="D12" s="13">
        <f>-4216-C12</f>
        <v>-2111</v>
      </c>
      <c r="E12" s="13">
        <f>-6328-D12-C12</f>
        <v>-2112</v>
      </c>
      <c r="F12" s="13">
        <f>-8015-E12-D12-C12</f>
        <v>-1687</v>
      </c>
      <c r="G12" s="13">
        <v>-2172</v>
      </c>
      <c r="H12" s="13">
        <f>-4355-G12</f>
        <v>-2183</v>
      </c>
      <c r="I12" s="13">
        <f>-6540-H12-G12</f>
        <v>-2185</v>
      </c>
      <c r="J12" s="13"/>
      <c r="K12" s="13"/>
      <c r="L12" s="13"/>
      <c r="M12" s="13"/>
    </row>
    <row r="13" ht="20.05" customHeight="1">
      <c r="A13" t="s" s="16">
        <v>39</v>
      </c>
      <c r="B13" s="24"/>
      <c r="C13" s="13">
        <v>-113</v>
      </c>
      <c r="D13" s="13">
        <f>-163-C13+11452</f>
        <v>11402</v>
      </c>
      <c r="E13" s="13">
        <f>-166+11395-D13-C13</f>
        <v>-60</v>
      </c>
      <c r="F13" s="13">
        <f>-869+11991-E13-D13-C13</f>
        <v>-107</v>
      </c>
      <c r="G13" s="13">
        <v>-610</v>
      </c>
      <c r="H13" s="13">
        <f>-509-G13</f>
        <v>101</v>
      </c>
      <c r="I13" s="13">
        <f>-185-H13-G13</f>
        <v>324</v>
      </c>
      <c r="J13" s="13"/>
      <c r="K13" s="13"/>
      <c r="L13" s="13"/>
      <c r="M13" s="13"/>
    </row>
    <row r="14" ht="20.05" customHeight="1">
      <c r="A14" t="s" s="16">
        <v>40</v>
      </c>
      <c r="B14" s="24"/>
      <c r="C14" s="13">
        <v>1350</v>
      </c>
      <c r="D14" s="13">
        <f>C17</f>
        <v>2197</v>
      </c>
      <c r="E14" s="13">
        <f>D17</f>
        <v>1844</v>
      </c>
      <c r="F14" s="13">
        <f>E17</f>
        <v>1627</v>
      </c>
      <c r="G14" s="13">
        <v>1825</v>
      </c>
      <c r="H14" s="13">
        <f>G17+5</f>
        <v>1814</v>
      </c>
      <c r="I14" s="13">
        <f>H17-32</f>
        <v>2388</v>
      </c>
      <c r="J14" s="13"/>
      <c r="K14" s="13"/>
      <c r="L14" s="13"/>
      <c r="M14" s="13"/>
    </row>
    <row r="15" ht="20.05" customHeight="1">
      <c r="A15" t="s" s="16">
        <v>41</v>
      </c>
      <c r="B15" s="24"/>
      <c r="C15" s="13">
        <v>-15</v>
      </c>
      <c r="D15" s="13">
        <f>-70-C15</f>
        <v>-55</v>
      </c>
      <c r="E15" s="13">
        <f>-39-D15-C15</f>
        <v>31</v>
      </c>
      <c r="F15" s="13">
        <f>-8-E15-D15-C15</f>
        <v>31</v>
      </c>
      <c r="G15" s="13"/>
      <c r="H15" s="13"/>
      <c r="I15" s="13"/>
      <c r="J15" s="13"/>
      <c r="K15" s="13"/>
      <c r="L15" s="13"/>
      <c r="M15" s="13"/>
    </row>
    <row r="16" ht="20.05" customHeight="1">
      <c r="A16" t="s" s="16">
        <v>16</v>
      </c>
      <c r="B16" s="24"/>
      <c r="C16" s="13">
        <f>C9+C10+C11+C12+C13+C15</f>
        <v>847</v>
      </c>
      <c r="D16" s="13">
        <f>D9+D10+D11+D12+D13+D15</f>
        <v>-353</v>
      </c>
      <c r="E16" s="13">
        <f>E9+E10+E11+E12+E13+E15</f>
        <v>-217</v>
      </c>
      <c r="F16" s="13">
        <f>F9+F10+F11+F12+F13+F15</f>
        <v>199</v>
      </c>
      <c r="G16" s="13">
        <f>G9+G10+G11+G12+G13</f>
        <v>-16</v>
      </c>
      <c r="H16" s="13">
        <f>H9+H10+H11+H12+H13</f>
        <v>606</v>
      </c>
      <c r="I16" s="13">
        <f>I9+I10+I11+I12+I13</f>
        <v>-355</v>
      </c>
      <c r="J16" s="13"/>
      <c r="K16" s="13"/>
      <c r="L16" s="13"/>
      <c r="M16" s="13"/>
    </row>
    <row r="17" ht="20.05" customHeight="1">
      <c r="A17" t="s" s="16">
        <v>42</v>
      </c>
      <c r="B17" s="24"/>
      <c r="C17" s="13">
        <f>C14+C16</f>
        <v>2197</v>
      </c>
      <c r="D17" s="13">
        <f>D14+D16</f>
        <v>1844</v>
      </c>
      <c r="E17" s="13">
        <f>E14+E16</f>
        <v>1627</v>
      </c>
      <c r="F17" s="13">
        <f>F14+F16</f>
        <v>1826</v>
      </c>
      <c r="G17" s="13">
        <f>G14+G16</f>
        <v>1809</v>
      </c>
      <c r="H17" s="13">
        <f>H14+H16</f>
        <v>2420</v>
      </c>
      <c r="I17" s="13">
        <f>I14+I16</f>
        <v>2033</v>
      </c>
      <c r="J17" s="13"/>
      <c r="K17" s="13"/>
      <c r="L17" s="13"/>
      <c r="M17" s="13"/>
    </row>
    <row r="18" ht="20.05" customHeight="1">
      <c r="A18" t="s" s="16">
        <v>43</v>
      </c>
      <c r="B18" s="24"/>
      <c r="C18" s="13">
        <v>166336</v>
      </c>
      <c r="D18" s="13">
        <v>177934</v>
      </c>
      <c r="E18" s="13">
        <v>178983</v>
      </c>
      <c r="F18" s="13">
        <v>154229</v>
      </c>
      <c r="G18" s="13">
        <v>158818</v>
      </c>
      <c r="H18" s="13">
        <v>169920</v>
      </c>
      <c r="I18" s="13">
        <v>179188</v>
      </c>
      <c r="J18" s="13"/>
      <c r="K18" s="13"/>
      <c r="L18" s="13"/>
      <c r="M18" s="13"/>
    </row>
    <row r="19" ht="20.05" customHeight="1">
      <c r="A19" t="s" s="16">
        <v>19</v>
      </c>
      <c r="B19" s="24"/>
      <c r="C19" s="13">
        <f>C18-C17</f>
        <v>164139</v>
      </c>
      <c r="D19" s="13">
        <f>D18-D17</f>
        <v>176090</v>
      </c>
      <c r="E19" s="13">
        <f>E18-E17</f>
        <v>177356</v>
      </c>
      <c r="F19" s="13">
        <f>F18-F17</f>
        <v>152403</v>
      </c>
      <c r="G19" s="13">
        <f>G18-G17</f>
        <v>157009</v>
      </c>
      <c r="H19" s="13">
        <f>H18-H17</f>
        <v>167500</v>
      </c>
      <c r="I19" s="13">
        <f>I18-I17</f>
        <v>177155</v>
      </c>
      <c r="J19" s="13"/>
      <c r="K19" s="13"/>
      <c r="L19" s="13"/>
      <c r="M19" s="13"/>
    </row>
    <row r="20" ht="20.05" customHeight="1">
      <c r="A20" t="s" s="16">
        <v>20</v>
      </c>
      <c r="B20" s="2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ht="20.05" customHeight="1">
      <c r="A21" t="s" s="16">
        <v>11</v>
      </c>
      <c r="B21" s="12"/>
      <c r="C21" s="13">
        <v>100998</v>
      </c>
      <c r="D21" s="13">
        <v>113370</v>
      </c>
      <c r="E21" s="13">
        <v>113487</v>
      </c>
      <c r="F21" s="13">
        <v>90756</v>
      </c>
      <c r="G21" s="13">
        <v>89953</v>
      </c>
      <c r="H21" s="13">
        <v>99605</v>
      </c>
      <c r="I21" s="13">
        <v>103221</v>
      </c>
      <c r="J21" s="13"/>
      <c r="K21" s="13"/>
      <c r="L21" s="13"/>
      <c r="M21" s="13"/>
    </row>
    <row r="22" ht="20.05" customHeight="1">
      <c r="A22" t="s" s="16">
        <v>12</v>
      </c>
      <c r="B22" s="24"/>
      <c r="C22" s="13">
        <v>65338</v>
      </c>
      <c r="D22" s="13">
        <v>64564</v>
      </c>
      <c r="E22" s="13">
        <v>65495</v>
      </c>
      <c r="F22" s="13">
        <v>63473</v>
      </c>
      <c r="G22" s="13">
        <v>68865</v>
      </c>
      <c r="H22" s="13">
        <v>70315</v>
      </c>
      <c r="I22" s="13">
        <v>75967</v>
      </c>
      <c r="J22" s="13"/>
      <c r="K22" s="13"/>
      <c r="L22" s="13"/>
      <c r="M22" s="13"/>
    </row>
    <row r="23" ht="20.05" customHeight="1">
      <c r="A23" t="s" s="16">
        <v>23</v>
      </c>
      <c r="B23" s="24"/>
      <c r="C23" s="13">
        <f>C21+C22-C17-C19</f>
        <v>0</v>
      </c>
      <c r="D23" s="13">
        <f>D21+D22-D17-D19</f>
        <v>0</v>
      </c>
      <c r="E23" s="13">
        <f>E21+E22-E17-E19</f>
        <v>-1</v>
      </c>
      <c r="F23" s="13">
        <f>F21+F22-F17-F19</f>
        <v>0</v>
      </c>
      <c r="G23" s="13">
        <f>G21+G22-G17-G19</f>
        <v>0</v>
      </c>
      <c r="H23" s="13">
        <f>H21+H22-H17-H19</f>
        <v>0</v>
      </c>
      <c r="I23" s="13">
        <f>I21+I22-I17-I19</f>
        <v>0</v>
      </c>
      <c r="J23" s="13"/>
      <c r="K23" s="13"/>
      <c r="L23" s="13"/>
      <c r="M23" s="13"/>
    </row>
    <row r="24" ht="20.05" customHeight="1">
      <c r="A24" t="s" s="16">
        <v>44</v>
      </c>
      <c r="B24" s="24"/>
      <c r="C24" s="13">
        <f>C17-C21</f>
        <v>-98801</v>
      </c>
      <c r="D24" s="13">
        <f>D17-D21</f>
        <v>-111526</v>
      </c>
      <c r="E24" s="13">
        <f>E17-E21</f>
        <v>-111860</v>
      </c>
      <c r="F24" s="13">
        <f>F17-F21</f>
        <v>-88930</v>
      </c>
      <c r="G24" s="13">
        <f>G17-G21</f>
        <v>-88144</v>
      </c>
      <c r="H24" s="13">
        <f>H17-H21</f>
        <v>-97185</v>
      </c>
      <c r="I24" s="13">
        <f>I17-I21</f>
        <v>-101188</v>
      </c>
      <c r="J24" s="15"/>
      <c r="K24" s="15"/>
      <c r="L24" s="15"/>
      <c r="M24" s="15"/>
    </row>
    <row r="25" ht="20.05" customHeight="1">
      <c r="A25" t="s" s="16">
        <v>31</v>
      </c>
      <c r="B25" s="24"/>
      <c r="C25" s="13"/>
      <c r="D25" s="13"/>
      <c r="E25" s="13"/>
      <c r="F25" s="13"/>
      <c r="G25" s="13"/>
      <c r="H25" s="13"/>
      <c r="I25" s="13">
        <f>I24</f>
        <v>-101188</v>
      </c>
      <c r="J25" s="13">
        <f>'Model'!E27</f>
        <v>-91446.703156239295</v>
      </c>
      <c r="K25" s="15"/>
      <c r="L25" s="15"/>
      <c r="M25" s="15"/>
    </row>
    <row r="26" ht="20.05" customHeight="1">
      <c r="A26" t="s" s="16">
        <v>5</v>
      </c>
      <c r="B26" s="24"/>
      <c r="C26" s="15">
        <f>(C6+C7-C4)/C4</f>
        <v>-0.539026083506893</v>
      </c>
      <c r="D26" s="15">
        <f>(D6+D7-D4)/D4</f>
        <v>-0.584752635847526</v>
      </c>
      <c r="E26" s="15">
        <f>(E6+E7-E4)/E4</f>
        <v>-0.718789530018488</v>
      </c>
      <c r="F26" s="15">
        <f>(F6+F7-F4)/F4</f>
        <v>-1.066158849709</v>
      </c>
      <c r="G26" s="15">
        <f>(G6+G7-G4)/G4</f>
        <v>-0.598408997394047</v>
      </c>
      <c r="H26" s="15">
        <f>(H6+H7-H4)/H4</f>
        <v>-0.706223322969911</v>
      </c>
      <c r="I26" s="15">
        <f>(I6+I7-I4)/I4</f>
        <v>-0.816883871503279</v>
      </c>
      <c r="J26" s="15">
        <f>'Model'!B6</f>
        <v>-0.7071720639557461</v>
      </c>
      <c r="K26" s="15"/>
      <c r="L26" s="15"/>
      <c r="M26" s="15"/>
    </row>
    <row r="27" ht="20.05" customHeight="1">
      <c r="A27" t="s" s="16">
        <v>45</v>
      </c>
      <c r="B27" s="24"/>
      <c r="C27" s="13">
        <f>C9+C10</f>
        <v>3062</v>
      </c>
      <c r="D27" s="13">
        <f>D9+D10</f>
        <v>-9456</v>
      </c>
      <c r="E27" s="13">
        <f>E9+E10</f>
        <v>2571</v>
      </c>
      <c r="F27" s="13">
        <f>F9+F10</f>
        <v>13955</v>
      </c>
      <c r="G27" s="13">
        <f>G9+G10</f>
        <v>2791</v>
      </c>
      <c r="H27" s="13">
        <f>H9+H10</f>
        <v>3162</v>
      </c>
      <c r="I27" s="13">
        <f>I9+I10</f>
        <v>747</v>
      </c>
      <c r="J27" s="25"/>
      <c r="K27" s="13"/>
      <c r="L27" s="13"/>
      <c r="M27" s="13"/>
    </row>
    <row r="28" ht="20.05" customHeight="1">
      <c r="A28" t="s" s="16">
        <v>2</v>
      </c>
      <c r="B28" s="24"/>
      <c r="C28" s="25"/>
      <c r="D28" s="26">
        <f>AVERAGE(A27:D27)</f>
        <v>-3197</v>
      </c>
      <c r="E28" s="13">
        <f>AVERAGE(B27:E27)</f>
        <v>-1274.333333333330</v>
      </c>
      <c r="F28" s="13">
        <f>AVERAGE(C27:F27)</f>
        <v>2533</v>
      </c>
      <c r="G28" s="13">
        <f>AVERAGE(D27:G27)</f>
        <v>2465.25</v>
      </c>
      <c r="H28" s="13">
        <f>AVERAGE(E27:H27)</f>
        <v>5619.75</v>
      </c>
      <c r="I28" s="13">
        <f>AVERAGE(F27:I27)</f>
        <v>5163.75</v>
      </c>
      <c r="J28" s="13">
        <f>SUM('Model'!E10:E11)</f>
        <v>4501.93438364</v>
      </c>
      <c r="K28" s="25"/>
      <c r="L28" s="25"/>
      <c r="M28" s="25"/>
    </row>
    <row r="29" ht="20.05" customHeight="1">
      <c r="A29" t="s" s="16">
        <v>46</v>
      </c>
      <c r="B29" s="24"/>
      <c r="C29" s="13">
        <f>-'Capital'!H26-(C11+C12)</f>
        <v>126462</v>
      </c>
      <c r="D29" s="13">
        <f>C29-(D11+D12)</f>
        <v>128706</v>
      </c>
      <c r="E29" s="13">
        <f>D29-(E11+E12)</f>
        <v>131465</v>
      </c>
      <c r="F29" s="13">
        <f>E29-(F11+F12)</f>
        <v>145145</v>
      </c>
      <c r="G29" s="13">
        <f>F29-(G11+G12)</f>
        <v>147342</v>
      </c>
      <c r="H29" s="13">
        <f>G29-(H11+H12)</f>
        <v>149999</v>
      </c>
      <c r="I29" s="13">
        <f>H29-(I11+I12)</f>
        <v>151425</v>
      </c>
      <c r="J29" s="13">
        <f>'Model'!E29</f>
        <v>178052.691873218</v>
      </c>
      <c r="K29" s="25"/>
      <c r="L29" s="25"/>
      <c r="M29" s="25"/>
    </row>
    <row r="30" ht="20.05" customHeight="1">
      <c r="A30" t="s" s="16">
        <v>47</v>
      </c>
      <c r="B30" s="27">
        <v>32.67</v>
      </c>
      <c r="C30" s="28">
        <v>33.99</v>
      </c>
      <c r="D30" s="28">
        <v>34.44</v>
      </c>
      <c r="E30" s="28">
        <v>32.06</v>
      </c>
      <c r="F30" s="13">
        <v>34.55</v>
      </c>
      <c r="G30" s="28">
        <v>37.68</v>
      </c>
      <c r="H30" s="28">
        <v>42.06</v>
      </c>
      <c r="I30" s="28">
        <v>43.36</v>
      </c>
      <c r="J30" s="28">
        <v>59.05</v>
      </c>
      <c r="K30" s="28">
        <v>55.72</v>
      </c>
      <c r="L30" s="28"/>
      <c r="M30" s="28"/>
    </row>
    <row r="31" ht="20.05" customHeight="1">
      <c r="A31" t="s" s="16">
        <v>33</v>
      </c>
      <c r="B31" s="27"/>
      <c r="C31" s="28"/>
      <c r="D31" s="28"/>
      <c r="E31" s="28"/>
      <c r="F31" s="13"/>
      <c r="G31" s="28"/>
      <c r="H31" s="28"/>
      <c r="I31" s="28"/>
      <c r="J31" s="28"/>
      <c r="K31" s="28">
        <f>K30</f>
        <v>55.72</v>
      </c>
      <c r="L31" s="13">
        <f>'Model'!E38</f>
        <v>49.1009938606129</v>
      </c>
      <c r="M31" s="28"/>
    </row>
  </sheetData>
  <mergeCells count="1">
    <mergeCell ref="A1:M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H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" style="29" customWidth="1"/>
    <col min="2" max="8" width="13.7188" style="29" customWidth="1"/>
    <col min="9" max="16384" width="16.3516" style="29" customWidth="1"/>
  </cols>
  <sheetData>
    <row r="1" ht="19.2" customHeight="1"/>
    <row r="2" ht="27.65" customHeight="1">
      <c r="B2" t="s" s="2">
        <v>46</v>
      </c>
      <c r="C2" s="2"/>
      <c r="D2" s="2"/>
      <c r="E2" s="2"/>
      <c r="F2" s="2"/>
      <c r="G2" s="2"/>
      <c r="H2" s="2"/>
    </row>
    <row r="3" ht="20.25" customHeight="1">
      <c r="B3" s="30"/>
      <c r="C3" t="s" s="31">
        <v>11</v>
      </c>
      <c r="D3" t="s" s="31">
        <v>12</v>
      </c>
      <c r="E3" t="s" s="31">
        <v>48</v>
      </c>
      <c r="F3" t="s" s="31">
        <v>11</v>
      </c>
      <c r="G3" t="s" s="31">
        <v>12</v>
      </c>
      <c r="H3" t="s" s="31">
        <v>48</v>
      </c>
    </row>
    <row r="4" ht="20.25" customHeight="1">
      <c r="B4" s="32">
        <v>1997</v>
      </c>
      <c r="C4" s="33"/>
      <c r="D4" s="34"/>
      <c r="E4" s="34">
        <f>SUM(C4:D4)</f>
        <v>0</v>
      </c>
      <c r="F4" s="34">
        <f>C4</f>
        <v>0</v>
      </c>
      <c r="G4" s="34">
        <f>D4</f>
        <v>0</v>
      </c>
      <c r="H4" s="34">
        <f>E4</f>
        <v>0</v>
      </c>
    </row>
    <row r="5" ht="20.05" customHeight="1">
      <c r="B5" s="35">
        <v>1998</v>
      </c>
      <c r="C5" s="12"/>
      <c r="D5" s="13"/>
      <c r="E5" s="13">
        <f>SUM(C5:D5)</f>
        <v>0</v>
      </c>
      <c r="F5" s="13">
        <f>C5+F4</f>
        <v>0</v>
      </c>
      <c r="G5" s="13">
        <f>D5+G4</f>
        <v>0</v>
      </c>
      <c r="H5" s="13">
        <f>E5+H4</f>
        <v>0</v>
      </c>
    </row>
    <row r="6" ht="20.05" customHeight="1">
      <c r="B6" s="35">
        <v>1999</v>
      </c>
      <c r="C6" s="12"/>
      <c r="D6" s="13"/>
      <c r="E6" s="13">
        <f>SUM(C6:D6)</f>
        <v>0</v>
      </c>
      <c r="F6" s="13">
        <f>C6+F5</f>
        <v>0</v>
      </c>
      <c r="G6" s="13">
        <f>D6+G5</f>
        <v>0</v>
      </c>
      <c r="H6" s="13">
        <f>E6+H5</f>
        <v>0</v>
      </c>
    </row>
    <row r="7" ht="20.05" customHeight="1">
      <c r="B7" s="35">
        <v>2000</v>
      </c>
      <c r="C7" s="12"/>
      <c r="D7" s="13"/>
      <c r="E7" s="13">
        <f>SUM(C7:D7)</f>
        <v>0</v>
      </c>
      <c r="F7" s="13">
        <f>C7+F6</f>
        <v>0</v>
      </c>
      <c r="G7" s="13">
        <f>D7+G6</f>
        <v>0</v>
      </c>
      <c r="H7" s="13">
        <f>E7+H6</f>
        <v>0</v>
      </c>
    </row>
    <row r="8" ht="20.05" customHeight="1">
      <c r="B8" s="35">
        <v>2001</v>
      </c>
      <c r="C8" s="12"/>
      <c r="D8" s="13"/>
      <c r="E8" s="13">
        <f>SUM(C8:D8)</f>
        <v>0</v>
      </c>
      <c r="F8" s="13">
        <f>C8+F7</f>
        <v>0</v>
      </c>
      <c r="G8" s="13">
        <f>D8+G7</f>
        <v>0</v>
      </c>
      <c r="H8" s="13">
        <f>E8+H7</f>
        <v>0</v>
      </c>
    </row>
    <row r="9" ht="20.05" customHeight="1">
      <c r="B9" s="35">
        <v>2002</v>
      </c>
      <c r="C9" s="12"/>
      <c r="D9" s="13"/>
      <c r="E9" s="13">
        <f>SUM(C9:D9)</f>
        <v>0</v>
      </c>
      <c r="F9" s="13">
        <f>C9+F8</f>
        <v>0</v>
      </c>
      <c r="G9" s="13">
        <f>D9+G8</f>
        <v>0</v>
      </c>
      <c r="H9" s="13">
        <f>E9+H8</f>
        <v>0</v>
      </c>
    </row>
    <row r="10" ht="20.05" customHeight="1">
      <c r="B10" s="35">
        <v>2003</v>
      </c>
      <c r="C10" s="12"/>
      <c r="D10" s="13"/>
      <c r="E10" s="13">
        <f>SUM(C10:D10)</f>
        <v>0</v>
      </c>
      <c r="F10" s="13">
        <f>C10+F9</f>
        <v>0</v>
      </c>
      <c r="G10" s="13">
        <f>D10+G9</f>
        <v>0</v>
      </c>
      <c r="H10" s="13">
        <f>E10+H9</f>
        <v>0</v>
      </c>
    </row>
    <row r="11" ht="20.05" customHeight="1">
      <c r="B11" s="35">
        <v>2004</v>
      </c>
      <c r="C11" s="12"/>
      <c r="D11" s="13"/>
      <c r="E11" s="13">
        <f>SUM(C11:D11)</f>
        <v>0</v>
      </c>
      <c r="F11" s="13">
        <f>C11+F10</f>
        <v>0</v>
      </c>
      <c r="G11" s="13">
        <f>D11+G10</f>
        <v>0</v>
      </c>
      <c r="H11" s="13">
        <f>E11+H10</f>
        <v>0</v>
      </c>
    </row>
    <row r="12" ht="20.05" customHeight="1">
      <c r="B12" s="35">
        <v>2005</v>
      </c>
      <c r="C12" s="12"/>
      <c r="D12" s="13"/>
      <c r="E12" s="13">
        <f>SUM(C12:D12)</f>
        <v>0</v>
      </c>
      <c r="F12" s="13">
        <f>C12+F11</f>
        <v>0</v>
      </c>
      <c r="G12" s="13">
        <f>D12+G11</f>
        <v>0</v>
      </c>
      <c r="H12" s="13">
        <f>E12+H11</f>
        <v>0</v>
      </c>
    </row>
    <row r="13" ht="20.05" customHeight="1">
      <c r="B13" s="35">
        <v>2006</v>
      </c>
      <c r="C13" s="12"/>
      <c r="D13" s="13"/>
      <c r="E13" s="13">
        <f>SUM(C13:D13)</f>
        <v>0</v>
      </c>
      <c r="F13" s="13">
        <f>C13+F12</f>
        <v>0</v>
      </c>
      <c r="G13" s="13">
        <f>D13+G12</f>
        <v>0</v>
      </c>
      <c r="H13" s="13">
        <f>E13+H12</f>
        <v>0</v>
      </c>
    </row>
    <row r="14" ht="20.05" customHeight="1">
      <c r="B14" s="35">
        <v>2007</v>
      </c>
      <c r="C14" s="12"/>
      <c r="D14" s="13"/>
      <c r="E14" s="13">
        <f>SUM(C14:D14)</f>
        <v>0</v>
      </c>
      <c r="F14" s="13">
        <f>C14+F13</f>
        <v>0</v>
      </c>
      <c r="G14" s="13">
        <f>D14+G13</f>
        <v>0</v>
      </c>
      <c r="H14" s="13">
        <f>E14+H13</f>
        <v>0</v>
      </c>
    </row>
    <row r="15" ht="20.05" customHeight="1">
      <c r="B15" s="35">
        <v>2008</v>
      </c>
      <c r="C15" s="12">
        <v>2407</v>
      </c>
      <c r="D15" s="13">
        <v>-9041</v>
      </c>
      <c r="E15" s="13">
        <f>SUM(C15:D15)</f>
        <v>-6634</v>
      </c>
      <c r="F15" s="13">
        <f>C15+F14</f>
        <v>2407</v>
      </c>
      <c r="G15" s="13">
        <f>D15+G14</f>
        <v>-9041</v>
      </c>
      <c r="H15" s="13">
        <f>E15+H14</f>
        <v>-6634</v>
      </c>
    </row>
    <row r="16" ht="20.05" customHeight="1">
      <c r="B16" s="35">
        <v>2009</v>
      </c>
      <c r="C16" s="12">
        <v>20119</v>
      </c>
      <c r="D16" s="13">
        <v>-5548</v>
      </c>
      <c r="E16" s="13">
        <f>SUM(C16:D16)</f>
        <v>14571</v>
      </c>
      <c r="F16" s="13">
        <f>C16+F15</f>
        <v>22526</v>
      </c>
      <c r="G16" s="13">
        <f>D16+G15</f>
        <v>-14589</v>
      </c>
      <c r="H16" s="13">
        <f>E16+H15</f>
        <v>7937</v>
      </c>
    </row>
    <row r="17" ht="20.05" customHeight="1">
      <c r="B17" s="35">
        <v>2010</v>
      </c>
      <c r="C17" s="12">
        <v>-4152</v>
      </c>
      <c r="D17" s="13">
        <v>-7088</v>
      </c>
      <c r="E17" s="13">
        <f>SUM(C17:D17)</f>
        <v>-11240</v>
      </c>
      <c r="F17" s="13">
        <f>C17+F16</f>
        <v>18374</v>
      </c>
      <c r="G17" s="13">
        <f>D17+G16</f>
        <v>-21677</v>
      </c>
      <c r="H17" s="13">
        <f>E17+H16</f>
        <v>-3303</v>
      </c>
    </row>
    <row r="18" ht="20.05" customHeight="1">
      <c r="B18" s="35">
        <v>2011</v>
      </c>
      <c r="C18" s="12">
        <v>-5541</v>
      </c>
      <c r="D18" s="13">
        <v>-15081</v>
      </c>
      <c r="E18" s="13">
        <f>SUM(C18:D18)</f>
        <v>-20622</v>
      </c>
      <c r="F18" s="13">
        <f>C18+F17</f>
        <v>12833</v>
      </c>
      <c r="G18" s="13">
        <f>D18+G17</f>
        <v>-36758</v>
      </c>
      <c r="H18" s="13">
        <f>E18+H17</f>
        <v>-23925</v>
      </c>
    </row>
    <row r="19" ht="20.05" customHeight="1">
      <c r="B19" s="35">
        <v>2012</v>
      </c>
      <c r="C19" s="12">
        <v>-1725</v>
      </c>
      <c r="D19" s="13">
        <v>-14194</v>
      </c>
      <c r="E19" s="13">
        <f>SUM(C19:D19)</f>
        <v>-15919</v>
      </c>
      <c r="F19" s="13">
        <f>C19+F18</f>
        <v>11108</v>
      </c>
      <c r="G19" s="13">
        <f>D19+G18</f>
        <v>-50952</v>
      </c>
      <c r="H19" s="13">
        <f>E19+H18</f>
        <v>-39844</v>
      </c>
    </row>
    <row r="20" ht="20.05" customHeight="1">
      <c r="B20" s="35">
        <v>2013</v>
      </c>
      <c r="C20" s="12">
        <v>6236</v>
      </c>
      <c r="D20" s="13">
        <v>-21120</v>
      </c>
      <c r="E20" s="13">
        <f>SUM(C20:D20)</f>
        <v>-14884</v>
      </c>
      <c r="F20" s="13">
        <f>C20+F19</f>
        <v>17344</v>
      </c>
      <c r="G20" s="13">
        <f>D20+G19</f>
        <v>-72072</v>
      </c>
      <c r="H20" s="13">
        <f>E20+H19</f>
        <v>-54728</v>
      </c>
    </row>
    <row r="21" ht="20.05" customHeight="1">
      <c r="B21" s="35">
        <v>2014</v>
      </c>
      <c r="C21" s="12">
        <v>543</v>
      </c>
      <c r="D21" s="13">
        <v>-10607</v>
      </c>
      <c r="E21" s="13">
        <f>SUM(C21:D21)</f>
        <v>-10064</v>
      </c>
      <c r="F21" s="13">
        <f>C21+F20</f>
        <v>17887</v>
      </c>
      <c r="G21" s="13">
        <f>D21+G20</f>
        <v>-82679</v>
      </c>
      <c r="H21" s="13">
        <f>E21+H20</f>
        <v>-64792</v>
      </c>
    </row>
    <row r="22" ht="20.05" customHeight="1">
      <c r="B22" s="35">
        <v>2015</v>
      </c>
      <c r="C22" s="12">
        <v>1319</v>
      </c>
      <c r="D22" s="13">
        <v>-11837</v>
      </c>
      <c r="E22" s="13">
        <f>SUM(C22:D22)</f>
        <v>-10518</v>
      </c>
      <c r="F22" s="13">
        <f>C22+F21</f>
        <v>19206</v>
      </c>
      <c r="G22" s="13">
        <f>D22+G21</f>
        <v>-94516</v>
      </c>
      <c r="H22" s="13">
        <f>E22+H21</f>
        <v>-75310</v>
      </c>
    </row>
    <row r="23" ht="20.05" customHeight="1">
      <c r="B23" s="35">
        <v>2016</v>
      </c>
      <c r="C23" s="12">
        <v>2573</v>
      </c>
      <c r="D23" s="13">
        <v>-11298</v>
      </c>
      <c r="E23" s="13">
        <f>SUM(C23:D23)</f>
        <v>-8725</v>
      </c>
      <c r="F23" s="13">
        <f>C23+F22</f>
        <v>21779</v>
      </c>
      <c r="G23" s="13">
        <f>D23+G22</f>
        <v>-105814</v>
      </c>
      <c r="H23" s="13">
        <f>E23+H22</f>
        <v>-84035</v>
      </c>
    </row>
    <row r="24" ht="20.05" customHeight="1">
      <c r="B24" s="35">
        <v>2017</v>
      </c>
      <c r="C24" s="12">
        <v>-941</v>
      </c>
      <c r="D24" s="13">
        <v>-11797</v>
      </c>
      <c r="E24" s="13">
        <f>SUM(C24:D24)</f>
        <v>-12738</v>
      </c>
      <c r="F24" s="13">
        <f>C24+F23</f>
        <v>20838</v>
      </c>
      <c r="G24" s="13">
        <f>D24+G23</f>
        <v>-117611</v>
      </c>
      <c r="H24" s="13">
        <f>E24+H23</f>
        <v>-96773</v>
      </c>
    </row>
    <row r="25" ht="20.05" customHeight="1">
      <c r="B25" s="35">
        <v>2018</v>
      </c>
      <c r="C25" s="12">
        <v>-935</v>
      </c>
      <c r="D25" s="13">
        <v>-18917</v>
      </c>
      <c r="E25" s="13">
        <f>SUM(C25:D25)</f>
        <v>-19852</v>
      </c>
      <c r="F25" s="13">
        <f>C25+F24</f>
        <v>19903</v>
      </c>
      <c r="G25" s="13">
        <f>D25+G24</f>
        <v>-136528</v>
      </c>
      <c r="H25" s="13">
        <f>E25+H24</f>
        <v>-116625</v>
      </c>
    </row>
    <row r="26" ht="20.05" customHeight="1">
      <c r="B26" s="35">
        <v>2019</v>
      </c>
      <c r="C26" s="12">
        <v>8764</v>
      </c>
      <c r="D26" s="13">
        <v>-16514</v>
      </c>
      <c r="E26" s="13">
        <f>SUM(C26:D26)</f>
        <v>-7750</v>
      </c>
      <c r="F26" s="13">
        <f>C26+F25</f>
        <v>28667</v>
      </c>
      <c r="G26" s="13">
        <f>D26+G25</f>
        <v>-153042</v>
      </c>
      <c r="H26" s="13">
        <f>E26+H25</f>
        <v>-124375</v>
      </c>
    </row>
    <row r="27" ht="20.05" customHeight="1">
      <c r="B27" s="35">
        <v>2020</v>
      </c>
      <c r="C27" s="12">
        <f>SUM('Data'!C11:F11)</f>
        <v>-12755</v>
      </c>
      <c r="D27" s="13">
        <f>SUM('Data'!C12:F12)</f>
        <v>-8015</v>
      </c>
      <c r="E27" s="13">
        <f>SUM(C27:D27)</f>
        <v>-20770</v>
      </c>
      <c r="F27" s="13">
        <f>C27+F26</f>
        <v>15912</v>
      </c>
      <c r="G27" s="13">
        <f>D27+G26</f>
        <v>-161057</v>
      </c>
      <c r="H27" s="13">
        <f>E27+H26</f>
        <v>-145145</v>
      </c>
    </row>
    <row r="28" ht="20.05" customHeight="1">
      <c r="B28" s="35">
        <v>2021</v>
      </c>
      <c r="C28" s="12">
        <f>SUM('Data'!G11:I11)</f>
        <v>260</v>
      </c>
      <c r="D28" s="13">
        <f>SUM('Data'!G12:I12)</f>
        <v>-6540</v>
      </c>
      <c r="E28" s="13">
        <f>SUM(C28:D28)</f>
        <v>-6280</v>
      </c>
      <c r="F28" s="13">
        <f>C28+F27</f>
        <v>16172</v>
      </c>
      <c r="G28" s="13">
        <f>D28+G27</f>
        <v>-167597</v>
      </c>
      <c r="H28" s="13">
        <f>E28+H27</f>
        <v>-151425</v>
      </c>
    </row>
  </sheetData>
  <mergeCells count="1">
    <mergeCell ref="B2:H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