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Sales - Profit" sheetId="2" r:id="rId5"/>
    <sheet name="Cashflow - Cashflow" sheetId="3" r:id="rId6"/>
    <sheet name="Balance shhet - Assets" sheetId="4" r:id="rId7"/>
    <sheet name="Balance shhet - Liabilities" sheetId="5" r:id="rId8"/>
    <sheet name="Share price " sheetId="6" r:id="rId9"/>
    <sheet name="Model - Model" sheetId="7" r:id="rId10"/>
    <sheet name="Valuation  - Valuation" sheetId="8" r:id="rId11"/>
  </sheets>
</workbook>
</file>

<file path=xl/sharedStrings.xml><?xml version="1.0" encoding="utf-8"?>
<sst xmlns="http://schemas.openxmlformats.org/spreadsheetml/2006/main" uniqueCount="91">
  <si>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</si>
  <si>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</si>
  <si>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</si>
  <si>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</si>
  <si>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Sales</t>
  </si>
  <si>
    <t>Profit</t>
  </si>
  <si>
    <t>Sales - Profit</t>
  </si>
  <si>
    <t>$m</t>
  </si>
  <si>
    <t>Gaming</t>
  </si>
  <si>
    <t>Hotel , F&amp;B</t>
  </si>
  <si>
    <t>Total</t>
  </si>
  <si>
    <t xml:space="preserve">Forecast </t>
  </si>
  <si>
    <t>Sales growth</t>
  </si>
  <si>
    <t>Cash cost ratio</t>
  </si>
  <si>
    <t>Cashflow</t>
  </si>
  <si>
    <t>Cashflow - Cashflow</t>
  </si>
  <si>
    <t>Net profit</t>
  </si>
  <si>
    <t xml:space="preserve">Depreciation </t>
  </si>
  <si>
    <t>Other non cash</t>
  </si>
  <si>
    <t>Working capital</t>
  </si>
  <si>
    <t xml:space="preserve">Operating </t>
  </si>
  <si>
    <t>Investmemt</t>
  </si>
  <si>
    <t>Finance</t>
  </si>
  <si>
    <t xml:space="preserve">Free cashflow </t>
  </si>
  <si>
    <t>Capital paid (raised)</t>
  </si>
  <si>
    <t>Balance shhet</t>
  </si>
  <si>
    <t>Assets</t>
  </si>
  <si>
    <t>Balance shhet - Assets</t>
  </si>
  <si>
    <t>Cash</t>
  </si>
  <si>
    <t>ST assets</t>
  </si>
  <si>
    <t>Other ST assets</t>
  </si>
  <si>
    <t>LT assets</t>
  </si>
  <si>
    <t>Net cash</t>
  </si>
  <si>
    <t>Liabilities</t>
  </si>
  <si>
    <t>Balance shhet - Liabilities</t>
  </si>
  <si>
    <t>ST debt</t>
  </si>
  <si>
    <t>LT debt</t>
  </si>
  <si>
    <t xml:space="preserve">ST liabilities </t>
  </si>
  <si>
    <t xml:space="preserve">LT liabilities </t>
  </si>
  <si>
    <t xml:space="preserve">Other ST liabilities </t>
  </si>
  <si>
    <t xml:space="preserve">Other LT liabilities </t>
  </si>
  <si>
    <t xml:space="preserve">Equity </t>
  </si>
  <si>
    <t>Check</t>
  </si>
  <si>
    <t xml:space="preserve">Share price </t>
  </si>
  <si>
    <t>Table 1</t>
  </si>
  <si>
    <t>$</t>
  </si>
  <si>
    <t xml:space="preserve">Share volume </t>
  </si>
  <si>
    <t>PENN</t>
  </si>
  <si>
    <t>Target</t>
  </si>
  <si>
    <t>Model</t>
  </si>
  <si>
    <t>Model - Model</t>
  </si>
  <si>
    <t>4Q 2020</t>
  </si>
  <si>
    <t>1Q 2021</t>
  </si>
  <si>
    <t>2Q 2021</t>
  </si>
  <si>
    <t>3Q 2021</t>
  </si>
  <si>
    <t>Growth</t>
  </si>
  <si>
    <t>Cost ratio</t>
  </si>
  <si>
    <t>Costs</t>
  </si>
  <si>
    <t xml:space="preserve">Operating cashflow </t>
  </si>
  <si>
    <t xml:space="preserve">Investment cashflow </t>
  </si>
  <si>
    <t xml:space="preserve">Finance cashflow </t>
  </si>
  <si>
    <t>Debt</t>
  </si>
  <si>
    <t>Equity</t>
  </si>
  <si>
    <t>Cashflow before revolver</t>
  </si>
  <si>
    <t xml:space="preserve">Revolver </t>
  </si>
  <si>
    <t>Beginning cash</t>
  </si>
  <si>
    <t>Change</t>
  </si>
  <si>
    <t xml:space="preserve">Ending cash </t>
  </si>
  <si>
    <t>Depreciation &amp; non cash</t>
  </si>
  <si>
    <t>Balance sheet</t>
  </si>
  <si>
    <t>Gross LT assets</t>
  </si>
  <si>
    <t>Net LT assets</t>
  </si>
  <si>
    <t>Revolver</t>
  </si>
  <si>
    <t>Total debt</t>
  </si>
  <si>
    <t xml:space="preserve">Other liabilities </t>
  </si>
  <si>
    <t xml:space="preserve">Check </t>
  </si>
  <si>
    <t xml:space="preserve">Valuation </t>
  </si>
  <si>
    <t>Valuation</t>
  </si>
  <si>
    <t>Valuation  - Valuation</t>
  </si>
  <si>
    <t xml:space="preserve">Adjustment </t>
  </si>
  <si>
    <t xml:space="preserve">Adjusted </t>
  </si>
  <si>
    <t>Shares</t>
  </si>
  <si>
    <t xml:space="preserve">Target price </t>
  </si>
  <si>
    <t xml:space="preserve">Current </t>
  </si>
  <si>
    <t>P/sales</t>
  </si>
  <si>
    <t>P/assets</t>
  </si>
  <si>
    <t>P/equity</t>
  </si>
  <si>
    <t xml:space="preserve">Profitability </t>
  </si>
  <si>
    <t xml:space="preserve">Sales growth </t>
  </si>
  <si>
    <t xml:space="preserve">Profit growth </t>
  </si>
  <si>
    <t>Yield</t>
  </si>
</sst>
</file>

<file path=xl/styles.xml><?xml version="1.0" encoding="utf-8"?>
<styleSheet xmlns="http://schemas.openxmlformats.org/spreadsheetml/2006/main">
  <numFmts count="7">
    <numFmt numFmtId="0" formatCode="General"/>
    <numFmt numFmtId="59" formatCode="0%_);[Red]\(0%\)"/>
    <numFmt numFmtId="60" formatCode="#,##0%_);[Red]\(#,##0%\)"/>
    <numFmt numFmtId="61" formatCode="#,##0%"/>
    <numFmt numFmtId="62" formatCode="0.0%"/>
    <numFmt numFmtId="63" formatCode="0.000"/>
    <numFmt numFmtId="64" formatCode="#,##0.0%_);[Red]\(#,##0.0%\)"/>
  </numFmts>
  <fonts count="6">
    <font>
      <sz val="10"/>
      <color indexed="8"/>
      <name val="Helvetica Neue"/>
    </font>
    <font>
      <sz val="12"/>
      <color indexed="8"/>
      <name val="Helvetica Neue"/>
    </font>
    <font>
      <sz val="14"/>
      <color indexed="8"/>
      <name val="Helvetica Neue"/>
    </font>
    <font>
      <u val="single"/>
      <sz val="12"/>
      <color indexed="11"/>
      <name val="Helvetica Neue"/>
    </font>
    <font>
      <b val="1"/>
      <sz val="10"/>
      <color indexed="8"/>
      <name val="Helvetica Neue"/>
    </font>
    <font>
      <sz val="12"/>
      <color indexed="20"/>
      <name val="Helvetica Neue"/>
    </font>
  </fonts>
  <fills count="9">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62">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1" applyNumberFormat="0" applyFont="1" applyFill="0" applyBorder="0" applyAlignment="1" applyProtection="0">
      <alignment horizontal="center" vertical="center"/>
    </xf>
    <xf numFmtId="49" fontId="4" fillId="4" borderId="1" applyNumberFormat="1" applyFont="1" applyFill="1" applyBorder="1" applyAlignment="1" applyProtection="0">
      <alignment horizontal="right" vertical="top" wrapText="1"/>
    </xf>
    <xf numFmtId="0" fontId="4" fillId="5" borderId="2" applyNumberFormat="1" applyFont="1" applyFill="1" applyBorder="1" applyAlignment="1" applyProtection="0">
      <alignment vertical="top" wrapText="1"/>
    </xf>
    <xf numFmtId="3" fontId="0" borderId="3" applyNumberFormat="1" applyFont="1" applyFill="0" applyBorder="1" applyAlignment="1" applyProtection="0">
      <alignment vertical="top" wrapText="1"/>
    </xf>
    <xf numFmtId="3" fontId="0" borderId="4" applyNumberFormat="1" applyFont="1" applyFill="0" applyBorder="1" applyAlignment="1" applyProtection="0">
      <alignment vertical="top" wrapText="1"/>
    </xf>
    <xf numFmtId="38" fontId="0" borderId="4" applyNumberFormat="1" applyFont="1" applyFill="0" applyBorder="1" applyAlignment="1" applyProtection="0">
      <alignment vertical="top" wrapText="1"/>
    </xf>
    <xf numFmtId="59" fontId="0" borderId="4" applyNumberFormat="1" applyFont="1" applyFill="0" applyBorder="1" applyAlignment="1" applyProtection="0">
      <alignment vertical="top" wrapText="1"/>
    </xf>
    <xf numFmtId="60" fontId="0" borderId="4" applyNumberFormat="1" applyFont="1" applyFill="0" applyBorder="1" applyAlignment="1" applyProtection="0">
      <alignment vertical="top" wrapText="1"/>
    </xf>
    <xf numFmtId="0" fontId="4" fillId="5" borderId="5" applyNumberFormat="0" applyFont="1" applyFill="1" applyBorder="1" applyAlignment="1" applyProtection="0">
      <alignment vertical="top" wrapText="1"/>
    </xf>
    <xf numFmtId="3" fontId="0" borderId="6" applyNumberFormat="1" applyFont="1" applyFill="0" applyBorder="1" applyAlignment="1" applyProtection="0">
      <alignment vertical="top" wrapText="1"/>
    </xf>
    <xf numFmtId="3" fontId="0" borderId="7" applyNumberFormat="1" applyFont="1" applyFill="0" applyBorder="1" applyAlignment="1" applyProtection="0">
      <alignment vertical="top" wrapText="1"/>
    </xf>
    <xf numFmtId="38" fontId="0" borderId="7" applyNumberFormat="1" applyFont="1" applyFill="0" applyBorder="1" applyAlignment="1" applyProtection="0">
      <alignment vertical="top" wrapText="1"/>
    </xf>
    <xf numFmtId="59" fontId="0" borderId="7" applyNumberFormat="1" applyFont="1" applyFill="0" applyBorder="1" applyAlignment="1" applyProtection="0">
      <alignment vertical="top" wrapText="1"/>
    </xf>
    <xf numFmtId="60" fontId="0" borderId="7" applyNumberFormat="1" applyFont="1" applyFill="0" applyBorder="1" applyAlignment="1" applyProtection="0">
      <alignment vertical="top" wrapText="1"/>
    </xf>
    <xf numFmtId="0" fontId="4" fillId="5" borderId="5" applyNumberFormat="1" applyFont="1" applyFill="1" applyBorder="1" applyAlignment="1" applyProtection="0">
      <alignment vertical="top" wrapText="1"/>
    </xf>
    <xf numFmtId="0" fontId="0" borderId="7" applyNumberFormat="0" applyFont="1" applyFill="0" applyBorder="1" applyAlignment="1" applyProtection="0">
      <alignment vertical="top" wrapText="1"/>
    </xf>
    <xf numFmtId="61" fontId="0" borderId="6" applyNumberFormat="1" applyFont="1" applyFill="0" applyBorder="1" applyAlignment="1" applyProtection="0">
      <alignment vertical="top" wrapText="1"/>
    </xf>
    <xf numFmtId="61" fontId="0" borderId="7" applyNumberFormat="1" applyFont="1" applyFill="0" applyBorder="1" applyAlignment="1" applyProtection="0">
      <alignment vertical="top" wrapText="1"/>
    </xf>
    <xf numFmtId="0" fontId="0" applyNumberFormat="1" applyFont="1" applyFill="0" applyBorder="0" applyAlignment="1" applyProtection="0">
      <alignment vertical="top" wrapText="1"/>
    </xf>
    <xf numFmtId="38" fontId="0" borderId="3" applyNumberFormat="1" applyFont="1" applyFill="0" applyBorder="1" applyAlignment="1" applyProtection="0">
      <alignment vertical="top" wrapText="1"/>
    </xf>
    <xf numFmtId="38" fontId="0" borderId="6" applyNumberFormat="1" applyFont="1" applyFill="0" applyBorder="1" applyAlignment="1" applyProtection="0">
      <alignment vertical="top" wrapText="1"/>
    </xf>
    <xf numFmtId="0" fontId="0" borderId="7" applyNumberFormat="1" applyFont="1" applyFill="0" applyBorder="1" applyAlignment="1" applyProtection="0">
      <alignment vertical="top" wrapText="1"/>
    </xf>
    <xf numFmtId="0" fontId="0" applyNumberFormat="1" applyFont="1" applyFill="0" applyBorder="0" applyAlignment="1" applyProtection="0">
      <alignment vertical="top" wrapText="1"/>
    </xf>
    <xf numFmtId="0" fontId="0" borderId="6" applyNumberFormat="0" applyFont="1" applyFill="0" applyBorder="1" applyAlignment="1" applyProtection="0">
      <alignment vertical="top"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0" fontId="0" borderId="4" applyNumberFormat="0" applyFont="1" applyFill="0" applyBorder="1" applyAlignment="1" applyProtection="0">
      <alignment vertical="top" wrapText="1"/>
    </xf>
    <xf numFmtId="1" fontId="0" borderId="6" applyNumberFormat="1" applyFont="1" applyFill="0" applyBorder="1" applyAlignment="1" applyProtection="0">
      <alignment vertical="top" wrapText="1"/>
    </xf>
    <xf numFmtId="1" fontId="0" borderId="7"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4" fillId="4" borderId="1" applyNumberFormat="1" applyFont="1" applyFill="1" applyBorder="1" applyAlignment="1" applyProtection="0">
      <alignment horizontal="left" vertical="top" wrapText="1"/>
    </xf>
    <xf numFmtId="49" fontId="4" fillId="4" borderId="1" applyNumberFormat="1" applyFont="1" applyFill="1" applyBorder="1" applyAlignment="1" applyProtection="0">
      <alignment vertical="top" wrapText="1"/>
    </xf>
    <xf numFmtId="49" fontId="4" fillId="6" borderId="2" applyNumberFormat="1" applyFont="1" applyFill="1" applyBorder="1" applyAlignment="1" applyProtection="0">
      <alignment vertical="top" wrapText="1"/>
    </xf>
    <xf numFmtId="0" fontId="0" borderId="3" applyNumberFormat="0" applyFont="1" applyFill="0" applyBorder="1" applyAlignment="1" applyProtection="0">
      <alignment vertical="top" wrapText="1"/>
    </xf>
    <xf numFmtId="49" fontId="4" fillId="5" borderId="5" applyNumberFormat="1" applyFont="1" applyFill="1" applyBorder="1" applyAlignment="1" applyProtection="0">
      <alignment vertical="top" wrapText="1"/>
    </xf>
    <xf numFmtId="59" fontId="0" borderId="6" applyNumberFormat="1" applyFont="1" applyFill="0" applyBorder="1" applyAlignment="1" applyProtection="0">
      <alignment vertical="top" wrapText="1"/>
    </xf>
    <xf numFmtId="60" fontId="0" borderId="6" applyNumberFormat="1" applyFont="1" applyFill="0" applyBorder="1" applyAlignment="1" applyProtection="0">
      <alignment vertical="top" wrapText="1"/>
    </xf>
    <xf numFmtId="0" fontId="0" borderId="6" applyNumberFormat="1" applyFont="1" applyFill="0" applyBorder="1" applyAlignment="1" applyProtection="0">
      <alignment vertical="top" wrapText="1"/>
    </xf>
    <xf numFmtId="49" fontId="4" fillId="7" borderId="5" applyNumberFormat="1" applyFont="1" applyFill="1" applyBorder="1" applyAlignment="1" applyProtection="0">
      <alignment vertical="top" wrapText="1"/>
    </xf>
    <xf numFmtId="49" fontId="4" fillId="8" borderId="5"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4" fillId="4" borderId="1" applyNumberFormat="0" applyFont="1" applyFill="1" applyBorder="1" applyAlignment="1" applyProtection="0">
      <alignment vertical="top" wrapText="1"/>
    </xf>
    <xf numFmtId="49" fontId="4" fillId="5" borderId="2" applyNumberFormat="1" applyFont="1" applyFill="1" applyBorder="1" applyAlignment="1" applyProtection="0">
      <alignment vertical="top" wrapText="1"/>
    </xf>
    <xf numFmtId="0" fontId="0" borderId="3" applyNumberFormat="1" applyFont="1" applyFill="0" applyBorder="1" applyAlignment="1" applyProtection="0">
      <alignment vertical="top" wrapText="1"/>
    </xf>
    <xf numFmtId="0" fontId="0" borderId="4" applyNumberFormat="1" applyFont="1" applyFill="0" applyBorder="1" applyAlignment="1" applyProtection="0">
      <alignment vertical="top" wrapText="1"/>
    </xf>
    <xf numFmtId="62" fontId="0" borderId="6" applyNumberFormat="1" applyFont="1" applyFill="0" applyBorder="1" applyAlignment="1" applyProtection="0">
      <alignment vertical="top" wrapText="1"/>
    </xf>
    <xf numFmtId="62" fontId="0" borderId="7" applyNumberFormat="1" applyFont="1" applyFill="0" applyBorder="1" applyAlignment="1" applyProtection="0">
      <alignment vertical="top" wrapText="1"/>
    </xf>
    <xf numFmtId="63" fontId="0" borderId="6" applyNumberFormat="1" applyFont="1" applyFill="0" applyBorder="1" applyAlignment="1" applyProtection="0">
      <alignment vertical="top" wrapText="1"/>
    </xf>
    <xf numFmtId="63" fontId="0" borderId="7" applyNumberFormat="1" applyFont="1" applyFill="0" applyBorder="1" applyAlignment="1" applyProtection="0">
      <alignment vertical="top" wrapText="1"/>
    </xf>
    <xf numFmtId="2" fontId="0" borderId="6" applyNumberFormat="1" applyFont="1" applyFill="0" applyBorder="1" applyAlignment="1" applyProtection="0">
      <alignment vertical="top" wrapText="1"/>
    </xf>
    <xf numFmtId="2" fontId="0" borderId="7" applyNumberFormat="1" applyFont="1" applyFill="0" applyBorder="1" applyAlignment="1" applyProtection="0">
      <alignment vertical="top" wrapText="1"/>
    </xf>
    <xf numFmtId="4" fontId="0" borderId="6" applyNumberFormat="1" applyFont="1" applyFill="0" applyBorder="1" applyAlignment="1" applyProtection="0">
      <alignment vertical="top" wrapText="1"/>
    </xf>
    <xf numFmtId="4" fontId="0" borderId="7" applyNumberFormat="1" applyFont="1" applyFill="0" applyBorder="1" applyAlignment="1" applyProtection="0">
      <alignment vertical="top" wrapText="1"/>
    </xf>
    <xf numFmtId="64" fontId="0" borderId="6" applyNumberFormat="1" applyFont="1" applyFill="0" applyBorder="1" applyAlignment="1" applyProtection="0">
      <alignment vertical="top" wrapText="1"/>
    </xf>
    <xf numFmtId="64" fontId="0" borderId="7" applyNumberFormat="1" applyFont="1" applyFill="0" applyBorder="1"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5a5a5"/>
      <rgbColor rgb="ff3f3f3f"/>
      <rgbColor rgb="ffdbdbdb"/>
      <rgbColor rgb="ff96d35f"/>
      <rgbColor rgb="fffff76b"/>
      <rgbColor rgb="ff74a7ff"/>
      <rgbColor rgb="ffb8b8b8"/>
      <rgbColor rgb="fffefffe"/>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34114"/>
          <c:y val="0.0426778"/>
          <c:w val="0.85715"/>
          <c:h val="0.886395"/>
        </c:manualLayout>
      </c:layout>
      <c:lineChart>
        <c:grouping val="standard"/>
        <c:varyColors val="0"/>
        <c:ser>
          <c:idx val="0"/>
          <c:order val="0"/>
          <c:tx>
            <c:strRef>
              <c:f>'Sales - Profit'!$D$2</c:f>
              <c:strCache>
                <c:ptCount val="1"/>
                <c:pt idx="0">
                  <c:v>Total</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'Sales - Profit'!$A$3:$A$20</c:f>
              <c:strCache>
                <c:ptCount val="18"/>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pt idx="16">
                  <c:v>2021</c:v>
                </c:pt>
                <c:pt idx="17">
                  <c:v/>
                </c:pt>
              </c:strCache>
            </c:strRef>
          </c:cat>
          <c:val>
            <c:numRef>
              <c:f>'Sales - Profit'!$D$3:$D$20</c:f>
              <c:numCache>
                <c:ptCount val="15"/>
                <c:pt idx="0">
                  <c:v>818.000000</c:v>
                </c:pt>
                <c:pt idx="1">
                  <c:v>842.000000</c:v>
                </c:pt>
                <c:pt idx="2">
                  <c:v>790.000000</c:v>
                </c:pt>
                <c:pt idx="3">
                  <c:v>698.000000</c:v>
                </c:pt>
                <c:pt idx="4">
                  <c:v>816.000000</c:v>
                </c:pt>
                <c:pt idx="5">
                  <c:v>827.000000</c:v>
                </c:pt>
                <c:pt idx="6">
                  <c:v>790.000000</c:v>
                </c:pt>
                <c:pt idx="7">
                  <c:v>1155.000000</c:v>
                </c:pt>
                <c:pt idx="8">
                  <c:v>1283.000000</c:v>
                </c:pt>
                <c:pt idx="9">
                  <c:v>1323.000000</c:v>
                </c:pt>
                <c:pt idx="10">
                  <c:v>1355.000000</c:v>
                </c:pt>
                <c:pt idx="11">
                  <c:v>1341.000000</c:v>
                </c:pt>
                <c:pt idx="12">
                  <c:v>1117.000000</c:v>
                </c:pt>
                <c:pt idx="13">
                  <c:v>305.000000</c:v>
                </c:pt>
                <c:pt idx="14">
                  <c:v>1130.000000</c:v>
                </c:pt>
              </c:numCache>
            </c:numRef>
          </c:val>
          <c:smooth val="0"/>
        </c:ser>
        <c:ser>
          <c:idx val="1"/>
          <c:order val="1"/>
          <c:tx>
            <c:strRef>
              <c:f>'Sales - Profit'!$E$2</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'Sales - Profit'!$A$3:$A$20</c:f>
              <c:strCache>
                <c:ptCount val="18"/>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pt idx="16">
                  <c:v>2021</c:v>
                </c:pt>
                <c:pt idx="17">
                  <c:v/>
                </c:pt>
              </c:strCache>
            </c:strRef>
          </c:cat>
          <c:val>
            <c:numRef>
              <c:f>'Sales - Profit'!$E$3:$E$20</c:f>
              <c:numCache>
                <c:ptCount val="4"/>
                <c:pt idx="14">
                  <c:v>457.500000</c:v>
                </c:pt>
                <c:pt idx="15">
                  <c:v>1209.100000</c:v>
                </c:pt>
                <c:pt idx="16">
                  <c:v>1293.737000</c:v>
                </c:pt>
                <c:pt idx="17">
                  <c:v>1332.549110</c:v>
                </c:pt>
              </c:numCache>
            </c:numRef>
          </c:val>
          <c:smooth val="0"/>
        </c:ser>
        <c:marker val="1"/>
        <c:axId val="2094734552"/>
        <c:axId val="2094734553"/>
      </c:lineChart>
      <c:catAx>
        <c:axId val="2094734552"/>
        <c:scaling>
          <c:orientation val="minMax"/>
        </c:scaling>
        <c:delete val="0"/>
        <c:axPos val="b"/>
        <c:numFmt formatCode="General"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General"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350"/>
        <c:minorUnit val="175"/>
      </c:valAx>
      <c:spPr>
        <a:noFill/>
        <a:ln w="12700" cap="flat">
          <a:noFill/>
          <a:miter lim="400000"/>
        </a:ln>
        <a:effectLst/>
      </c:spPr>
    </c:plotArea>
    <c:legend>
      <c:legendPos val="r"/>
      <c:layout>
        <c:manualLayout>
          <c:xMode val="edge"/>
          <c:yMode val="edge"/>
          <c:x val="0.174057"/>
          <c:y val="0.0953514"/>
          <c:w val="0.254797"/>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2.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51146"/>
          <c:y val="0.0426778"/>
          <c:w val="0.840222"/>
          <c:h val="0.886395"/>
        </c:manualLayout>
      </c:layout>
      <c:lineChart>
        <c:grouping val="standard"/>
        <c:varyColors val="0"/>
        <c:ser>
          <c:idx val="0"/>
          <c:order val="0"/>
          <c:tx>
            <c:strRef>
              <c:f>'Cashflow - Cashflow'!$J$3</c:f>
              <c:strCache>
                <c:ptCount val="1"/>
                <c:pt idx="0">
                  <c:v>Free cashflow </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'Cashflow - Cashflow'!$B$4:$B$19</c:f>
              <c:strCache>
                <c:ptCount val="16"/>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strCache>
            </c:strRef>
          </c:cat>
          <c:val>
            <c:numRef>
              <c:f>'Cashflow - Cashflow'!$J$4:$J$19</c:f>
              <c:numCache>
                <c:ptCount val="15"/>
                <c:pt idx="0">
                  <c:v>80.800000</c:v>
                </c:pt>
                <c:pt idx="1">
                  <c:v>-39.800000</c:v>
                </c:pt>
                <c:pt idx="2">
                  <c:v>78.000000</c:v>
                </c:pt>
                <c:pt idx="3">
                  <c:v>30.000000</c:v>
                </c:pt>
                <c:pt idx="4">
                  <c:v>59.000000</c:v>
                </c:pt>
                <c:pt idx="5">
                  <c:v>88.000000</c:v>
                </c:pt>
                <c:pt idx="6">
                  <c:v>100.000000</c:v>
                </c:pt>
                <c:pt idx="7">
                  <c:v>-1267.000000</c:v>
                </c:pt>
                <c:pt idx="8">
                  <c:v>52.000000</c:v>
                </c:pt>
                <c:pt idx="9">
                  <c:v>-150.000000</c:v>
                </c:pt>
                <c:pt idx="10">
                  <c:v>193.000000</c:v>
                </c:pt>
                <c:pt idx="11">
                  <c:v>116.000000</c:v>
                </c:pt>
                <c:pt idx="12">
                  <c:v>-93.000000</c:v>
                </c:pt>
                <c:pt idx="13">
                  <c:v>-110.200000</c:v>
                </c:pt>
                <c:pt idx="14">
                  <c:v>291.200000</c:v>
                </c:pt>
              </c:numCache>
            </c:numRef>
          </c:val>
          <c:smooth val="0"/>
        </c:ser>
        <c:ser>
          <c:idx val="1"/>
          <c:order val="1"/>
          <c:tx>
            <c:strRef>
              <c:f>'Cashflow - Cashflow'!$K$3</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'Cashflow - Cashflow'!$B$4:$B$19</c:f>
              <c:strCache>
                <c:ptCount val="16"/>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strCache>
            </c:strRef>
          </c:cat>
          <c:val>
            <c:numRef>
              <c:f>'Cashflow - Cashflow'!$K$4:$K$19</c:f>
              <c:numCache>
                <c:ptCount val="2"/>
                <c:pt idx="14">
                  <c:v>192.982320</c:v>
                </c:pt>
                <c:pt idx="15">
                  <c:v>209.237290</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622.222"/>
        <c:minorUnit val="311.111"/>
      </c:valAx>
      <c:spPr>
        <a:noFill/>
        <a:ln w="12700" cap="flat">
          <a:noFill/>
          <a:miter lim="400000"/>
        </a:ln>
        <a:effectLst/>
      </c:spPr>
    </c:plotArea>
    <c:legend>
      <c:legendPos val="r"/>
      <c:layout>
        <c:manualLayout>
          <c:xMode val="edge"/>
          <c:yMode val="edge"/>
          <c:x val="0.189324"/>
          <c:y val="0.0522093"/>
          <c:w val="0.372258"/>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3.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56228"/>
          <c:y val="0.0426778"/>
          <c:w val="0.835189"/>
          <c:h val="0.886395"/>
        </c:manualLayout>
      </c:layout>
      <c:lineChart>
        <c:grouping val="standard"/>
        <c:varyColors val="0"/>
        <c:ser>
          <c:idx val="0"/>
          <c:order val="0"/>
          <c:tx>
            <c:strRef>
              <c:f>'Sales - Profit'!$G$2</c:f>
              <c:strCache>
                <c:ptCount val="1"/>
                <c:pt idx="0">
                  <c:v>Cash cost ratio</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'Sales - Profit'!$A$3:$A$18</c:f>
              <c:strCache>
                <c:ptCount val="16"/>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strCache>
            </c:strRef>
          </c:cat>
          <c:val>
            <c:numRef>
              <c:f>'Sales - Profit'!$G$3:$G$18</c:f>
              <c:numCache>
                <c:ptCount val="15"/>
                <c:pt idx="0">
                  <c:v>-0.872861</c:v>
                </c:pt>
                <c:pt idx="1">
                  <c:v>-0.878860</c:v>
                </c:pt>
                <c:pt idx="2">
                  <c:v>-0.870886</c:v>
                </c:pt>
                <c:pt idx="3">
                  <c:v>-0.911175</c:v>
                </c:pt>
                <c:pt idx="4">
                  <c:v>-0.852941</c:v>
                </c:pt>
                <c:pt idx="5">
                  <c:v>-0.873035</c:v>
                </c:pt>
                <c:pt idx="6">
                  <c:v>-0.862025</c:v>
                </c:pt>
                <c:pt idx="7">
                  <c:v>-0.939394</c:v>
                </c:pt>
                <c:pt idx="8">
                  <c:v>-0.845674</c:v>
                </c:pt>
                <c:pt idx="9">
                  <c:v>-0.848904</c:v>
                </c:pt>
                <c:pt idx="10">
                  <c:v>-0.716531</c:v>
                </c:pt>
                <c:pt idx="11">
                  <c:v>-0.862789</c:v>
                </c:pt>
                <c:pt idx="12">
                  <c:v>-0.917637</c:v>
                </c:pt>
                <c:pt idx="13">
                  <c:v>-1.251475</c:v>
                </c:pt>
                <c:pt idx="14">
                  <c:v>-0.726814</c:v>
                </c:pt>
              </c:numCache>
            </c:numRef>
          </c:val>
          <c:smooth val="0"/>
        </c:ser>
        <c:ser>
          <c:idx val="1"/>
          <c:order val="1"/>
          <c:tx>
            <c:strRef>
              <c:f>'Sales - Profit'!$H$2</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'Sales - Profit'!$A$3:$A$18</c:f>
              <c:strCache>
                <c:ptCount val="16"/>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strCache>
            </c:strRef>
          </c:cat>
          <c:val>
            <c:numRef>
              <c:f>'Sales - Profit'!$H$3:$H$18</c:f>
              <c:numCache>
                <c:ptCount val="2"/>
                <c:pt idx="14">
                  <c:v>-0.832319</c:v>
                </c:pt>
                <c:pt idx="15">
                  <c:v>-0.818475</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0.325"/>
        <c:minorUnit val="0.1625"/>
      </c:valAx>
      <c:spPr>
        <a:noFill/>
        <a:ln w="12700" cap="flat">
          <a:noFill/>
          <a:miter lim="400000"/>
        </a:ln>
        <a:effectLst/>
      </c:spPr>
    </c:plotArea>
    <c:legend>
      <c:legendPos val="r"/>
      <c:layout>
        <c:manualLayout>
          <c:xMode val="edge"/>
          <c:yMode val="edge"/>
          <c:x val="0.351258"/>
          <c:y val="0.103226"/>
          <c:w val="0.432549"/>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4.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70175"/>
          <c:y val="0.0426778"/>
          <c:w val="0.821242"/>
          <c:h val="0.886395"/>
        </c:manualLayout>
      </c:layout>
      <c:lineChart>
        <c:grouping val="standard"/>
        <c:varyColors val="0"/>
        <c:ser>
          <c:idx val="0"/>
          <c:order val="0"/>
          <c:tx>
            <c:strRef>
              <c:f>'Balance shhet - Assets'!$G$2</c:f>
              <c:strCache>
                <c:ptCount val="1"/>
                <c:pt idx="0">
                  <c:v>Net cash</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'Balance shhet - Assets'!$A$3:$A$18</c:f>
              <c:strCache>
                <c:ptCount val="16"/>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strCache>
            </c:strRef>
          </c:cat>
          <c:val>
            <c:numRef>
              <c:f>'Balance shhet - Assets'!$G$3:$G$18</c:f>
              <c:numCache>
                <c:ptCount val="15"/>
                <c:pt idx="0">
                  <c:v>-4664.000000</c:v>
                </c:pt>
                <c:pt idx="1">
                  <c:v>-4682.000000</c:v>
                </c:pt>
                <c:pt idx="2">
                  <c:v>-4606.000000</c:v>
                </c:pt>
                <c:pt idx="3">
                  <c:v>-4512.000000</c:v>
                </c:pt>
                <c:pt idx="4">
                  <c:v>-4503.000000</c:v>
                </c:pt>
                <c:pt idx="5">
                  <c:v>-4384.000000</c:v>
                </c:pt>
                <c:pt idx="6">
                  <c:v>-4298.500000</c:v>
                </c:pt>
                <c:pt idx="7">
                  <c:v>-9081.000000</c:v>
                </c:pt>
                <c:pt idx="8">
                  <c:v>-6258.000000</c:v>
                </c:pt>
                <c:pt idx="9">
                  <c:v>-6467.000000</c:v>
                </c:pt>
                <c:pt idx="10">
                  <c:v>-6334.000000</c:v>
                </c:pt>
                <c:pt idx="11">
                  <c:v>-6091.000000</c:v>
                </c:pt>
                <c:pt idx="12">
                  <c:v>-6421.000000</c:v>
                </c:pt>
                <c:pt idx="13">
                  <c:v>-5992.000000</c:v>
                </c:pt>
                <c:pt idx="14">
                  <c:v>-4679.000000</c:v>
                </c:pt>
              </c:numCache>
            </c:numRef>
          </c:val>
          <c:smooth val="0"/>
        </c:ser>
        <c:ser>
          <c:idx val="1"/>
          <c:order val="1"/>
          <c:tx>
            <c:strRef>
              <c:f>'Balance shhet - Assets'!$H$2</c:f>
              <c:strCache>
                <c:ptCount val="1"/>
                <c:pt idx="0">
                  <c:v>Forecast </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'Balance shhet - Assets'!$A$3:$A$18</c:f>
              <c:strCache>
                <c:ptCount val="16"/>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strCache>
            </c:strRef>
          </c:cat>
          <c:val>
            <c:numRef>
              <c:f>'Balance shhet - Assets'!$H$3:$H$18</c:f>
              <c:numCache>
                <c:ptCount val="2"/>
                <c:pt idx="14">
                  <c:v>-5950.785920</c:v>
                </c:pt>
                <c:pt idx="15">
                  <c:v>-3923.695587</c:v>
                </c:pt>
              </c:numCache>
            </c:numRef>
          </c:val>
          <c:smooth val="0"/>
        </c:ser>
        <c:marker val="1"/>
        <c:axId val="2094734552"/>
        <c:axId val="2094734553"/>
      </c:line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2500"/>
        <c:minorUnit val="1250"/>
      </c:valAx>
      <c:spPr>
        <a:noFill/>
        <a:ln w="12700" cap="flat">
          <a:noFill/>
          <a:miter lim="400000"/>
        </a:ln>
        <a:effectLst/>
      </c:spPr>
    </c:plotArea>
    <c:legend>
      <c:legendPos val="r"/>
      <c:layout>
        <c:manualLayout>
          <c:xMode val="edge"/>
          <c:yMode val="edge"/>
          <c:x val="0.591534"/>
          <c:y val="0.0522093"/>
          <c:w val="0.263878"/>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5.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06171"/>
          <c:y val="0.0426778"/>
          <c:w val="0.884889"/>
          <c:h val="0.886395"/>
        </c:manualLayout>
      </c:layout>
      <c:lineChart>
        <c:grouping val="standard"/>
        <c:varyColors val="0"/>
        <c:ser>
          <c:idx val="0"/>
          <c:order val="0"/>
          <c:tx>
            <c:strRef>
              <c:f>'Share price '!$C$2</c:f>
              <c:strCache>
                <c:ptCount val="1"/>
                <c:pt idx="0">
                  <c:v>PENN</c:v>
                </c:pt>
              </c:strCache>
            </c:strRef>
          </c:tx>
          <c:spPr>
            <a:solidFill>
              <a:srgbClr val="FFFFFF"/>
            </a:solidFill>
            <a:ln w="50800" cap="flat">
              <a:solidFill>
                <a:schemeClr val="accent1"/>
              </a:solidFill>
              <a:prstDash val="solid"/>
              <a:miter lim="400000"/>
            </a:ln>
            <a:effectLst/>
          </c:spPr>
          <c:marker>
            <c:symbol val="circle"/>
            <c:size val="4"/>
            <c:spPr>
              <a:solidFill>
                <a:srgbClr val="FFFFFF"/>
              </a:solidFill>
              <a:ln w="50800" cap="flat">
                <a:solidFill>
                  <a:schemeClr val="accent1"/>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'Share price '!$A$3:$A$51</c:f>
              <c:strCache>
                <c:ptCount val="49"/>
                <c:pt idx="0">
                  <c:v>2017</c:v>
                </c:pt>
                <c:pt idx="1">
                  <c:v/>
                </c:pt>
                <c:pt idx="2">
                  <c:v/>
                </c:pt>
                <c:pt idx="3">
                  <c:v/>
                </c:pt>
                <c:pt idx="4">
                  <c:v/>
                </c:pt>
                <c:pt idx="5">
                  <c:v/>
                </c:pt>
                <c:pt idx="6">
                  <c:v/>
                </c:pt>
                <c:pt idx="7">
                  <c:v/>
                </c:pt>
                <c:pt idx="8">
                  <c:v/>
                </c:pt>
                <c:pt idx="9">
                  <c:v/>
                </c:pt>
                <c:pt idx="10">
                  <c:v/>
                </c:pt>
                <c:pt idx="11">
                  <c:v/>
                </c:pt>
                <c:pt idx="12">
                  <c:v>2018</c:v>
                </c:pt>
                <c:pt idx="13">
                  <c:v/>
                </c:pt>
                <c:pt idx="14">
                  <c:v/>
                </c:pt>
                <c:pt idx="15">
                  <c:v/>
                </c:pt>
                <c:pt idx="16">
                  <c:v/>
                </c:pt>
                <c:pt idx="17">
                  <c:v/>
                </c:pt>
                <c:pt idx="18">
                  <c:v/>
                </c:pt>
                <c:pt idx="19">
                  <c:v/>
                </c:pt>
                <c:pt idx="20">
                  <c:v/>
                </c:pt>
                <c:pt idx="21">
                  <c:v/>
                </c:pt>
                <c:pt idx="22">
                  <c:v/>
                </c:pt>
                <c:pt idx="23">
                  <c:v/>
                </c:pt>
                <c:pt idx="24">
                  <c:v>2019</c:v>
                </c:pt>
                <c:pt idx="25">
                  <c:v/>
                </c:pt>
                <c:pt idx="26">
                  <c:v/>
                </c:pt>
                <c:pt idx="27">
                  <c:v/>
                </c:pt>
                <c:pt idx="28">
                  <c:v/>
                </c:pt>
                <c:pt idx="29">
                  <c:v/>
                </c:pt>
                <c:pt idx="30">
                  <c:v/>
                </c:pt>
                <c:pt idx="31">
                  <c:v/>
                </c:pt>
                <c:pt idx="32">
                  <c:v/>
                </c:pt>
                <c:pt idx="33">
                  <c:v/>
                </c:pt>
                <c:pt idx="34">
                  <c:v/>
                </c:pt>
                <c:pt idx="35">
                  <c:v/>
                </c:pt>
                <c:pt idx="36">
                  <c:v>2020</c:v>
                </c:pt>
                <c:pt idx="37">
                  <c:v/>
                </c:pt>
                <c:pt idx="38">
                  <c:v/>
                </c:pt>
                <c:pt idx="39">
                  <c:v/>
                </c:pt>
                <c:pt idx="40">
                  <c:v/>
                </c:pt>
                <c:pt idx="41">
                  <c:v/>
                </c:pt>
                <c:pt idx="42">
                  <c:v/>
                </c:pt>
                <c:pt idx="43">
                  <c:v/>
                </c:pt>
                <c:pt idx="44">
                  <c:v/>
                </c:pt>
                <c:pt idx="45">
                  <c:v/>
                </c:pt>
                <c:pt idx="46">
                  <c:v/>
                </c:pt>
                <c:pt idx="47">
                  <c:v/>
                </c:pt>
                <c:pt idx="48">
                  <c:v/>
                </c:pt>
              </c:strCache>
            </c:strRef>
          </c:cat>
          <c:val>
            <c:numRef>
              <c:f>'Share price '!$C$3:$C$51</c:f>
              <c:numCache>
                <c:ptCount val="48"/>
                <c:pt idx="0">
                  <c:v>12.818137</c:v>
                </c:pt>
                <c:pt idx="1">
                  <c:v>13.459975</c:v>
                </c:pt>
                <c:pt idx="2">
                  <c:v>17.908237</c:v>
                </c:pt>
                <c:pt idx="3">
                  <c:v>17.956821</c:v>
                </c:pt>
                <c:pt idx="4">
                  <c:v>18.782759</c:v>
                </c:pt>
                <c:pt idx="5">
                  <c:v>21.400000</c:v>
                </c:pt>
                <c:pt idx="6">
                  <c:v>20.160000</c:v>
                </c:pt>
                <c:pt idx="7">
                  <c:v>22.190001</c:v>
                </c:pt>
                <c:pt idx="8">
                  <c:v>23.389999</c:v>
                </c:pt>
                <c:pt idx="9">
                  <c:v>26.090000</c:v>
                </c:pt>
                <c:pt idx="10">
                  <c:v>28.760000</c:v>
                </c:pt>
                <c:pt idx="11">
                  <c:v>31.330000</c:v>
                </c:pt>
                <c:pt idx="12">
                  <c:v>30.740000</c:v>
                </c:pt>
                <c:pt idx="13">
                  <c:v>31.910000</c:v>
                </c:pt>
                <c:pt idx="14">
                  <c:v>26.610001</c:v>
                </c:pt>
                <c:pt idx="15">
                  <c:v>26.260000</c:v>
                </c:pt>
                <c:pt idx="16">
                  <c:v>30.309999</c:v>
                </c:pt>
                <c:pt idx="17">
                  <c:v>34.080002</c:v>
                </c:pt>
                <c:pt idx="18">
                  <c:v>33.590000</c:v>
                </c:pt>
                <c:pt idx="19">
                  <c:v>32.049999</c:v>
                </c:pt>
                <c:pt idx="20">
                  <c:v>34.459999</c:v>
                </c:pt>
                <c:pt idx="21">
                  <c:v>32.919998</c:v>
                </c:pt>
                <c:pt idx="22">
                  <c:v>24.280001</c:v>
                </c:pt>
                <c:pt idx="23">
                  <c:v>22.110001</c:v>
                </c:pt>
                <c:pt idx="24">
                  <c:v>18.830000</c:v>
                </c:pt>
                <c:pt idx="25">
                  <c:v>24.240000</c:v>
                </c:pt>
                <c:pt idx="26">
                  <c:v>24.850000</c:v>
                </c:pt>
                <c:pt idx="27">
                  <c:v>20.100000</c:v>
                </c:pt>
                <c:pt idx="28">
                  <c:v>21.670000</c:v>
                </c:pt>
                <c:pt idx="29">
                  <c:v>18.850000</c:v>
                </c:pt>
                <c:pt idx="30">
                  <c:v>19.260000</c:v>
                </c:pt>
                <c:pt idx="31">
                  <c:v>19.520000</c:v>
                </c:pt>
                <c:pt idx="32">
                  <c:v>19.170000</c:v>
                </c:pt>
                <c:pt idx="33">
                  <c:v>18.629999</c:v>
                </c:pt>
                <c:pt idx="34">
                  <c:v>21.320000</c:v>
                </c:pt>
                <c:pt idx="35">
                  <c:v>23.030001</c:v>
                </c:pt>
                <c:pt idx="36">
                  <c:v>25.559999</c:v>
                </c:pt>
                <c:pt idx="37">
                  <c:v>29.830000</c:v>
                </c:pt>
                <c:pt idx="38">
                  <c:v>29.570000</c:v>
                </c:pt>
                <c:pt idx="39">
                  <c:v>12.650000</c:v>
                </c:pt>
                <c:pt idx="40">
                  <c:v>17.820000</c:v>
                </c:pt>
                <c:pt idx="41">
                  <c:v>32.810001</c:v>
                </c:pt>
                <c:pt idx="42">
                  <c:v>33.849998</c:v>
                </c:pt>
                <c:pt idx="43">
                  <c:v>51.099998</c:v>
                </c:pt>
                <c:pt idx="44">
                  <c:v>72.699997</c:v>
                </c:pt>
                <c:pt idx="45">
                  <c:v>53.980000</c:v>
                </c:pt>
                <c:pt idx="46">
                  <c:v>70.000000</c:v>
                </c:pt>
                <c:pt idx="47">
                  <c:v>94.660004</c:v>
                </c:pt>
              </c:numCache>
            </c:numRef>
          </c:val>
          <c:smooth val="0"/>
        </c:ser>
        <c:ser>
          <c:idx val="1"/>
          <c:order val="1"/>
          <c:tx>
            <c:strRef>
              <c:f>'Share price '!$D$2</c:f>
              <c:strCache>
                <c:ptCount val="1"/>
                <c:pt idx="0">
                  <c:v>Target</c:v>
                </c:pt>
              </c:strCache>
            </c:strRef>
          </c:tx>
          <c:spPr>
            <a:solidFill>
              <a:srgbClr val="FFFFFF"/>
            </a:solidFill>
            <a:ln w="50800" cap="flat">
              <a:solidFill>
                <a:schemeClr val="accent3"/>
              </a:solidFill>
              <a:prstDash val="solid"/>
              <a:miter lim="400000"/>
            </a:ln>
            <a:effectLst/>
          </c:spPr>
          <c:marker>
            <c:symbol val="circle"/>
            <c:size val="4"/>
            <c:spPr>
              <a:solidFill>
                <a:srgbClr val="FFFFFF"/>
              </a:solidFill>
              <a:ln w="50800" cap="flat">
                <a:solidFill>
                  <a:schemeClr val="accent3"/>
                </a:solidFill>
                <a:prstDash val="solid"/>
                <a:miter lim="400000"/>
              </a:ln>
              <a:effectLst/>
            </c:spPr>
          </c:marker>
          <c:dLbls>
            <c:numFmt formatCode="#,##0" sourceLinked="1"/>
            <c:txPr>
              <a:bodyPr/>
              <a:lstStyle/>
              <a:p>
                <a:pPr>
                  <a:defRPr b="0" i="0" strike="noStrike" sz="1200" u="none">
                    <a:solidFill>
                      <a:srgbClr val="000000"/>
                    </a:solidFill>
                    <a:latin typeface="Helvetica Neue"/>
                  </a:defRPr>
                </a:pPr>
              </a:p>
            </c:txPr>
            <c:dLblPos val="b"/>
            <c:showLegendKey val="0"/>
            <c:showVal val="0"/>
            <c:showCatName val="0"/>
            <c:showSerName val="0"/>
            <c:showPercent val="0"/>
            <c:showBubbleSize val="0"/>
            <c:showLeaderLines val="0"/>
          </c:dLbls>
          <c:cat>
            <c:strRef>
              <c:f>'Share price '!$A$3:$A$51</c:f>
              <c:strCache>
                <c:ptCount val="49"/>
                <c:pt idx="0">
                  <c:v>2017</c:v>
                </c:pt>
                <c:pt idx="1">
                  <c:v/>
                </c:pt>
                <c:pt idx="2">
                  <c:v/>
                </c:pt>
                <c:pt idx="3">
                  <c:v/>
                </c:pt>
                <c:pt idx="4">
                  <c:v/>
                </c:pt>
                <c:pt idx="5">
                  <c:v/>
                </c:pt>
                <c:pt idx="6">
                  <c:v/>
                </c:pt>
                <c:pt idx="7">
                  <c:v/>
                </c:pt>
                <c:pt idx="8">
                  <c:v/>
                </c:pt>
                <c:pt idx="9">
                  <c:v/>
                </c:pt>
                <c:pt idx="10">
                  <c:v/>
                </c:pt>
                <c:pt idx="11">
                  <c:v/>
                </c:pt>
                <c:pt idx="12">
                  <c:v>2018</c:v>
                </c:pt>
                <c:pt idx="13">
                  <c:v/>
                </c:pt>
                <c:pt idx="14">
                  <c:v/>
                </c:pt>
                <c:pt idx="15">
                  <c:v/>
                </c:pt>
                <c:pt idx="16">
                  <c:v/>
                </c:pt>
                <c:pt idx="17">
                  <c:v/>
                </c:pt>
                <c:pt idx="18">
                  <c:v/>
                </c:pt>
                <c:pt idx="19">
                  <c:v/>
                </c:pt>
                <c:pt idx="20">
                  <c:v/>
                </c:pt>
                <c:pt idx="21">
                  <c:v/>
                </c:pt>
                <c:pt idx="22">
                  <c:v/>
                </c:pt>
                <c:pt idx="23">
                  <c:v/>
                </c:pt>
                <c:pt idx="24">
                  <c:v>2019</c:v>
                </c:pt>
                <c:pt idx="25">
                  <c:v/>
                </c:pt>
                <c:pt idx="26">
                  <c:v/>
                </c:pt>
                <c:pt idx="27">
                  <c:v/>
                </c:pt>
                <c:pt idx="28">
                  <c:v/>
                </c:pt>
                <c:pt idx="29">
                  <c:v/>
                </c:pt>
                <c:pt idx="30">
                  <c:v/>
                </c:pt>
                <c:pt idx="31">
                  <c:v/>
                </c:pt>
                <c:pt idx="32">
                  <c:v/>
                </c:pt>
                <c:pt idx="33">
                  <c:v/>
                </c:pt>
                <c:pt idx="34">
                  <c:v/>
                </c:pt>
                <c:pt idx="35">
                  <c:v/>
                </c:pt>
                <c:pt idx="36">
                  <c:v>2020</c:v>
                </c:pt>
                <c:pt idx="37">
                  <c:v/>
                </c:pt>
                <c:pt idx="38">
                  <c:v/>
                </c:pt>
                <c:pt idx="39">
                  <c:v/>
                </c:pt>
                <c:pt idx="40">
                  <c:v/>
                </c:pt>
                <c:pt idx="41">
                  <c:v/>
                </c:pt>
                <c:pt idx="42">
                  <c:v/>
                </c:pt>
                <c:pt idx="43">
                  <c:v/>
                </c:pt>
                <c:pt idx="44">
                  <c:v/>
                </c:pt>
                <c:pt idx="45">
                  <c:v/>
                </c:pt>
                <c:pt idx="46">
                  <c:v/>
                </c:pt>
                <c:pt idx="47">
                  <c:v/>
                </c:pt>
                <c:pt idx="48">
                  <c:v/>
                </c:pt>
              </c:strCache>
            </c:strRef>
          </c:cat>
          <c:val>
            <c:numRef>
              <c:f>'Share price '!$D$3:$D$51</c:f>
              <c:numCache>
                <c:ptCount val="2"/>
                <c:pt idx="47">
                  <c:v>94.660004</c:v>
                </c:pt>
                <c:pt idx="48">
                  <c:v>179.055200</c:v>
                </c:pt>
              </c:numCache>
            </c:numRef>
          </c:val>
          <c:smooth val="0"/>
        </c:ser>
        <c:marker val="1"/>
        <c:axId val="2094734552"/>
        <c:axId val="2094734553"/>
      </c:lineChart>
      <c:catAx>
        <c:axId val="2094734552"/>
        <c:scaling>
          <c:orientation val="minMax"/>
        </c:scaling>
        <c:delete val="0"/>
        <c:axPos val="b"/>
        <c:numFmt formatCode="#,##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midCat"/>
        <c:majorUnit val="45"/>
        <c:minorUnit val="22.5"/>
      </c:valAx>
      <c:spPr>
        <a:noFill/>
        <a:ln w="12700" cap="flat">
          <a:noFill/>
          <a:miter lim="400000"/>
        </a:ln>
        <a:effectLst/>
      </c:spPr>
    </c:plotArea>
    <c:legend>
      <c:legendPos val="r"/>
      <c:layout>
        <c:manualLayout>
          <c:xMode val="edge"/>
          <c:yMode val="edge"/>
          <c:x val="0.374147"/>
          <c:y val="0.101126"/>
          <c:w val="0.269751"/>
          <c:h val="0.110356"/>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charts/chart6.xml><?xml version="1.0" encoding="utf-8"?>
<c:chartSpace xmlns:c="http://schemas.openxmlformats.org/drawingml/2006/chart" xmlns:a="http://schemas.openxmlformats.org/drawingml/2006/main" xmlns:r="http://schemas.openxmlformats.org/officeDocument/2006/relationships">
  <c:date1904 val="0"/>
  <c:roundedCorners val="0"/>
  <c:chart>
    <c:autoTitleDeleted val="1"/>
    <c:plotArea>
      <c:layout>
        <c:manualLayout>
          <c:layoutTarget val="inner"/>
          <c:xMode val="edge"/>
          <c:yMode val="edge"/>
          <c:x val="0.155501"/>
          <c:y val="0.0426778"/>
          <c:w val="0.839499"/>
          <c:h val="0.886395"/>
        </c:manualLayout>
      </c:layout>
      <c:barChart>
        <c:barDir val="col"/>
        <c:grouping val="clustered"/>
        <c:varyColors val="0"/>
        <c:ser>
          <c:idx val="0"/>
          <c:order val="0"/>
          <c:tx>
            <c:strRef>
              <c:f>'Cashflow - Cashflow'!$L$3</c:f>
              <c:strCache>
                <c:ptCount val="1"/>
                <c:pt idx="0">
                  <c:v>Capital paid (raised)</c:v>
                </c:pt>
              </c:strCache>
            </c:strRef>
          </c:tx>
          <c:spPr>
            <a:solidFill>
              <a:schemeClr val="accent1"/>
            </a:solidFill>
            <a:ln w="12700" cap="flat">
              <a:noFill/>
              <a:miter lim="400000"/>
            </a:ln>
            <a:effectLst/>
          </c:spPr>
          <c:invertIfNegative val="0"/>
          <c:dLbls>
            <c:numFmt formatCode="#,##0" sourceLinked="1"/>
            <c:txPr>
              <a:bodyPr/>
              <a:lstStyle/>
              <a:p>
                <a:pPr>
                  <a:defRPr b="0" i="0" strike="noStrike" sz="1200" u="none">
                    <a:solidFill>
                      <a:srgbClr val="FFFFFF"/>
                    </a:solidFill>
                    <a:latin typeface="Helvetica Neue"/>
                  </a:defRPr>
                </a:pPr>
              </a:p>
            </c:txPr>
            <c:dLblPos val="inEnd"/>
            <c:showLegendKey val="0"/>
            <c:showVal val="0"/>
            <c:showCatName val="0"/>
            <c:showSerName val="0"/>
            <c:showPercent val="0"/>
            <c:showBubbleSize val="0"/>
            <c:showLeaderLines val="0"/>
          </c:dLbls>
          <c:cat>
            <c:strRef>
              <c:f>'Cashflow - Cashflow'!$B$4:$B$19</c:f>
              <c:strCache>
                <c:ptCount val="16"/>
                <c:pt idx="0">
                  <c:v>2017</c:v>
                </c:pt>
                <c:pt idx="1">
                  <c:v/>
                </c:pt>
                <c:pt idx="2">
                  <c:v/>
                </c:pt>
                <c:pt idx="3">
                  <c:v/>
                </c:pt>
                <c:pt idx="4">
                  <c:v>2018</c:v>
                </c:pt>
                <c:pt idx="5">
                  <c:v/>
                </c:pt>
                <c:pt idx="6">
                  <c:v/>
                </c:pt>
                <c:pt idx="7">
                  <c:v/>
                </c:pt>
                <c:pt idx="8">
                  <c:v>2019</c:v>
                </c:pt>
                <c:pt idx="9">
                  <c:v/>
                </c:pt>
                <c:pt idx="10">
                  <c:v/>
                </c:pt>
                <c:pt idx="11">
                  <c:v/>
                </c:pt>
                <c:pt idx="12">
                  <c:v>2020</c:v>
                </c:pt>
                <c:pt idx="13">
                  <c:v/>
                </c:pt>
                <c:pt idx="14">
                  <c:v/>
                </c:pt>
                <c:pt idx="15">
                  <c:v/>
                </c:pt>
              </c:strCache>
            </c:strRef>
          </c:cat>
          <c:val>
            <c:numRef>
              <c:f>'Cashflow - Cashflow'!$L$4:$L$19</c:f>
              <c:numCache>
                <c:ptCount val="16"/>
                <c:pt idx="0">
                  <c:v>32.000000</c:v>
                </c:pt>
                <c:pt idx="1">
                  <c:v>53.000000</c:v>
                </c:pt>
                <c:pt idx="2">
                  <c:v>127.000000</c:v>
                </c:pt>
                <c:pt idx="3">
                  <c:v>207.000000</c:v>
                </c:pt>
                <c:pt idx="4">
                  <c:v>271.000000</c:v>
                </c:pt>
                <c:pt idx="5">
                  <c:v>413.000000</c:v>
                </c:pt>
                <c:pt idx="6">
                  <c:v>457.000000</c:v>
                </c:pt>
                <c:pt idx="7">
                  <c:v>-1065.000000</c:v>
                </c:pt>
                <c:pt idx="8">
                  <c:v>-1019.000000</c:v>
                </c:pt>
                <c:pt idx="9">
                  <c:v>-1151.900000</c:v>
                </c:pt>
                <c:pt idx="10">
                  <c:v>-979.000000</c:v>
                </c:pt>
                <c:pt idx="11">
                  <c:v>-897.000000</c:v>
                </c:pt>
                <c:pt idx="12">
                  <c:v>-1406.000000</c:v>
                </c:pt>
                <c:pt idx="13">
                  <c:v>-2052.000000</c:v>
                </c:pt>
                <c:pt idx="14">
                  <c:v>-2343.000000</c:v>
                </c:pt>
                <c:pt idx="15">
                  <c:v>-1506.050838</c:v>
                </c:pt>
              </c:numCache>
            </c:numRef>
          </c:val>
        </c:ser>
        <c:gapWidth val="40"/>
        <c:overlap val="-10"/>
        <c:axId val="2094734552"/>
        <c:axId val="2094734553"/>
      </c:barChart>
      <c:catAx>
        <c:axId val="2094734552"/>
        <c:scaling>
          <c:orientation val="minMax"/>
        </c:scaling>
        <c:delete val="0"/>
        <c:axPos val="b"/>
        <c:numFmt formatCode="#,##0_);[Red]\(#,##0\)" sourceLinked="1"/>
        <c:majorTickMark val="none"/>
        <c:minorTickMark val="none"/>
        <c:tickLblPos val="low"/>
        <c:spPr>
          <a:ln w="12700" cap="flat">
            <a:solidFill>
              <a:srgbClr val="000000"/>
            </a:solidFill>
            <a:prstDash val="solid"/>
            <a:miter lim="400000"/>
          </a:ln>
        </c:spPr>
        <c:txPr>
          <a:bodyPr rot="0"/>
          <a:lstStyle/>
          <a:p>
            <a:pPr>
              <a:defRPr b="0" i="0" strike="noStrike" sz="1000" u="none">
                <a:solidFill>
                  <a:srgbClr val="000000"/>
                </a:solidFill>
                <a:latin typeface="Helvetica Neue"/>
              </a:defRPr>
            </a:pPr>
          </a:p>
        </c:txPr>
        <c:crossAx val="2094734553"/>
        <c:crosses val="autoZero"/>
        <c:auto val="1"/>
        <c:lblAlgn val="ctr"/>
        <c:noMultiLvlLbl val="1"/>
      </c:catAx>
      <c:valAx>
        <c:axId val="2094734553"/>
        <c:scaling>
          <c:orientation val="minMax"/>
        </c:scaling>
        <c:delete val="0"/>
        <c:axPos val="l"/>
        <c:majorGridlines>
          <c:spPr>
            <a:ln w="6350" cap="flat">
              <a:solidFill>
                <a:srgbClr val="B8B8B8"/>
              </a:solidFill>
              <a:prstDash val="solid"/>
              <a:miter lim="400000"/>
            </a:ln>
          </c:spPr>
        </c:majorGridlines>
        <c:numFmt formatCode="#,##0_);[Red]\(#,##0\)" sourceLinked="1"/>
        <c:majorTickMark val="none"/>
        <c:minorTickMark val="none"/>
        <c:tickLblPos val="nextTo"/>
        <c:spPr>
          <a:ln w="12700" cap="flat">
            <a:noFill/>
            <a:prstDash val="solid"/>
            <a:miter lim="400000"/>
          </a:ln>
        </c:spPr>
        <c:txPr>
          <a:bodyPr rot="0"/>
          <a:lstStyle/>
          <a:p>
            <a:pPr>
              <a:defRPr b="0" i="0" strike="noStrike" sz="1000" u="none">
                <a:solidFill>
                  <a:srgbClr val="000000"/>
                </a:solidFill>
                <a:latin typeface="Helvetica Neue"/>
              </a:defRPr>
            </a:pPr>
          </a:p>
        </c:txPr>
        <c:crossAx val="2094734552"/>
        <c:crosses val="autoZero"/>
        <c:crossBetween val="between"/>
        <c:majorUnit val="937.5"/>
        <c:minorUnit val="468.75"/>
      </c:valAx>
      <c:spPr>
        <a:noFill/>
        <a:ln w="12700" cap="flat">
          <a:noFill/>
          <a:miter lim="400000"/>
        </a:ln>
        <a:effectLst/>
      </c:spPr>
    </c:plotArea>
    <c:legend>
      <c:legendPos val="r"/>
      <c:layout>
        <c:manualLayout>
          <c:xMode val="edge"/>
          <c:yMode val="edge"/>
          <c:x val="0.101832"/>
          <c:y val="0.651958"/>
          <c:w val="0.63127"/>
          <c:h val="0.0676778"/>
        </c:manualLayout>
      </c:layout>
      <c:overlay val="1"/>
      <c:spPr>
        <a:noFill/>
        <a:ln w="12700" cap="flat">
          <a:noFill/>
          <a:miter lim="400000"/>
        </a:ln>
        <a:effectLst/>
      </c:spPr>
      <c:txPr>
        <a:bodyPr rot="0"/>
        <a:lstStyle/>
        <a:p>
          <a:pPr>
            <a:defRPr b="0" i="0" strike="noStrike" sz="1000" u="none">
              <a:solidFill>
                <a:srgbClr val="000000"/>
              </a:solidFill>
              <a:latin typeface="Helvetica Neue"/>
            </a:defRPr>
          </a:pPr>
        </a:p>
      </c:txPr>
    </c:legend>
    <c:plotVisOnly val="1"/>
    <c:dispBlanksAs val="gap"/>
  </c:chart>
  <c:spPr>
    <a:noFill/>
    <a:ln>
      <a:noFill/>
    </a:ln>
    <a:effectLst/>
  </c:spPr>
</c:chartSpace>
</file>

<file path=xl/drawings/_rels/drawing1.xml.rels><?xml version="1.0" encoding="UTF-8"?>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 Id="rId4" Type="http://schemas.openxmlformats.org/officeDocument/2006/relationships/chart" Target="../charts/chart4.xml"/><Relationship Id="rId5" Type="http://schemas.openxmlformats.org/officeDocument/2006/relationships/chart" Target="../charts/chart5.xml"/><Relationship Id="rId6" Type="http://schemas.openxmlformats.org/officeDocument/2006/relationships/chart" Target="../charts/chart6.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6</xdr:col>
      <xdr:colOff>588000</xdr:colOff>
      <xdr:row>2</xdr:row>
      <xdr:rowOff>84829</xdr:rowOff>
    </xdr:from>
    <xdr:to>
      <xdr:col>9</xdr:col>
      <xdr:colOff>343253</xdr:colOff>
      <xdr:row>16</xdr:row>
      <xdr:rowOff>2482</xdr:rowOff>
    </xdr:to>
    <xdr:graphicFrame>
      <xdr:nvGraphicFramePr>
        <xdr:cNvPr id="2" name="Chart 2"/>
        <xdr:cNvGraphicFramePr/>
      </xdr:nvGraphicFramePr>
      <xdr:xfrm>
        <a:off x="5121900" y="876674"/>
        <a:ext cx="3489054" cy="3487624"/>
      </xdr:xfrm>
      <a:graphic xmlns:a="http://schemas.openxmlformats.org/drawingml/2006/main">
        <a:graphicData uri="http://schemas.openxmlformats.org/drawingml/2006/chart">
          <c:chart xmlns:c="http://schemas.openxmlformats.org/drawingml/2006/chart" r:id="rId1"/>
        </a:graphicData>
      </a:graphic>
    </xdr:graphicFrame>
    <xdr:clientData/>
  </xdr:twoCellAnchor>
  <xdr:twoCellAnchor>
    <xdr:from>
      <xdr:col>6</xdr:col>
      <xdr:colOff>534067</xdr:colOff>
      <xdr:row>17</xdr:row>
      <xdr:rowOff>62426</xdr:rowOff>
    </xdr:from>
    <xdr:to>
      <xdr:col>9</xdr:col>
      <xdr:colOff>331400</xdr:colOff>
      <xdr:row>30</xdr:row>
      <xdr:rowOff>239795</xdr:rowOff>
    </xdr:to>
    <xdr:graphicFrame>
      <xdr:nvGraphicFramePr>
        <xdr:cNvPr id="3" name="Chart 3"/>
        <xdr:cNvGraphicFramePr/>
      </xdr:nvGraphicFramePr>
      <xdr:xfrm>
        <a:off x="5067967" y="4678876"/>
        <a:ext cx="3531134" cy="3487624"/>
      </xdr:xfrm>
      <a:graphic xmlns:a="http://schemas.openxmlformats.org/drawingml/2006/main">
        <a:graphicData uri="http://schemas.openxmlformats.org/drawingml/2006/chart">
          <c:chart xmlns:c="http://schemas.openxmlformats.org/drawingml/2006/chart" r:id="rId2"/>
        </a:graphicData>
      </a:graphic>
    </xdr:graphicFrame>
    <xdr:clientData/>
  </xdr:twoCellAnchor>
  <xdr:twoCellAnchor>
    <xdr:from>
      <xdr:col>9</xdr:col>
      <xdr:colOff>845120</xdr:colOff>
      <xdr:row>2</xdr:row>
      <xdr:rowOff>57365</xdr:rowOff>
    </xdr:from>
    <xdr:to>
      <xdr:col>12</xdr:col>
      <xdr:colOff>662539</xdr:colOff>
      <xdr:row>15</xdr:row>
      <xdr:rowOff>229653</xdr:rowOff>
    </xdr:to>
    <xdr:graphicFrame>
      <xdr:nvGraphicFramePr>
        <xdr:cNvPr id="4" name="Chart 4"/>
        <xdr:cNvGraphicFramePr/>
      </xdr:nvGraphicFramePr>
      <xdr:xfrm>
        <a:off x="9112820" y="849210"/>
        <a:ext cx="3551220" cy="3487624"/>
      </xdr:xfrm>
      <a:graphic xmlns:a="http://schemas.openxmlformats.org/drawingml/2006/main">
        <a:graphicData uri="http://schemas.openxmlformats.org/drawingml/2006/chart">
          <c:chart xmlns:c="http://schemas.openxmlformats.org/drawingml/2006/chart" r:id="rId3"/>
        </a:graphicData>
      </a:graphic>
    </xdr:graphicFrame>
    <xdr:clientData/>
  </xdr:twoCellAnchor>
  <xdr:twoCellAnchor>
    <xdr:from>
      <xdr:col>9</xdr:col>
      <xdr:colOff>798019</xdr:colOff>
      <xdr:row>17</xdr:row>
      <xdr:rowOff>62426</xdr:rowOff>
    </xdr:from>
    <xdr:to>
      <xdr:col>12</xdr:col>
      <xdr:colOff>615438</xdr:colOff>
      <xdr:row>30</xdr:row>
      <xdr:rowOff>239795</xdr:rowOff>
    </xdr:to>
    <xdr:graphicFrame>
      <xdr:nvGraphicFramePr>
        <xdr:cNvPr id="5" name="Chart 5"/>
        <xdr:cNvGraphicFramePr/>
      </xdr:nvGraphicFramePr>
      <xdr:xfrm>
        <a:off x="9065719" y="4678876"/>
        <a:ext cx="3551220" cy="3487624"/>
      </xdr:xfrm>
      <a:graphic xmlns:a="http://schemas.openxmlformats.org/drawingml/2006/main">
        <a:graphicData uri="http://schemas.openxmlformats.org/drawingml/2006/chart">
          <c:chart xmlns:c="http://schemas.openxmlformats.org/drawingml/2006/chart" r:id="rId4"/>
        </a:graphicData>
      </a:graphic>
    </xdr:graphicFrame>
    <xdr:clientData/>
  </xdr:twoCellAnchor>
  <xdr:twoCellAnchor>
    <xdr:from>
      <xdr:col>6</xdr:col>
      <xdr:colOff>680632</xdr:colOff>
      <xdr:row>32</xdr:row>
      <xdr:rowOff>45104</xdr:rowOff>
    </xdr:from>
    <xdr:to>
      <xdr:col>9</xdr:col>
      <xdr:colOff>356539</xdr:colOff>
      <xdr:row>45</xdr:row>
      <xdr:rowOff>241522</xdr:rowOff>
    </xdr:to>
    <xdr:graphicFrame>
      <xdr:nvGraphicFramePr>
        <xdr:cNvPr id="6" name="Chart 6"/>
        <xdr:cNvGraphicFramePr/>
      </xdr:nvGraphicFramePr>
      <xdr:xfrm>
        <a:off x="5214532" y="8481079"/>
        <a:ext cx="3409708" cy="3487624"/>
      </xdr:xfrm>
      <a:graphic xmlns:a="http://schemas.openxmlformats.org/drawingml/2006/main">
        <a:graphicData uri="http://schemas.openxmlformats.org/drawingml/2006/chart">
          <c:chart xmlns:c="http://schemas.openxmlformats.org/drawingml/2006/chart" r:id="rId5"/>
        </a:graphicData>
      </a:graphic>
    </xdr:graphicFrame>
    <xdr:clientData/>
  </xdr:twoCellAnchor>
  <xdr:twoCellAnchor>
    <xdr:from>
      <xdr:col>9</xdr:col>
      <xdr:colOff>899905</xdr:colOff>
      <xdr:row>32</xdr:row>
      <xdr:rowOff>45104</xdr:rowOff>
    </xdr:from>
    <xdr:to>
      <xdr:col>12</xdr:col>
      <xdr:colOff>598356</xdr:colOff>
      <xdr:row>45</xdr:row>
      <xdr:rowOff>241522</xdr:rowOff>
    </xdr:to>
    <xdr:graphicFrame>
      <xdr:nvGraphicFramePr>
        <xdr:cNvPr id="7" name="Chart 7"/>
        <xdr:cNvGraphicFramePr/>
      </xdr:nvGraphicFramePr>
      <xdr:xfrm>
        <a:off x="9167605" y="8481079"/>
        <a:ext cx="3432252" cy="3487624"/>
      </xdr:xfrm>
      <a:graphic xmlns:a="http://schemas.openxmlformats.org/drawingml/2006/main">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7.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50" customHeight="1">
      <c r="B3" t="s" s="1">
        <v>0</v>
      </c>
      <c r="C3"/>
      <c r="D3"/>
    </row>
    <row r="7">
      <c r="B7" t="s" s="2">
        <v>1</v>
      </c>
      <c r="C7" t="s" s="2">
        <v>2</v>
      </c>
      <c r="D7" t="s" s="2">
        <v>3</v>
      </c>
    </row>
    <row r="9">
      <c r="B9" t="s" s="3">
        <v>4</v>
      </c>
      <c r="C9" s="3"/>
      <c r="D9" s="3"/>
    </row>
    <row r="10">
      <c r="B10" s="4"/>
      <c r="C10" t="s" s="4">
        <v>5</v>
      </c>
      <c r="D10" t="s" s="5">
        <v>6</v>
      </c>
    </row>
    <row r="11">
      <c r="B11" t="s" s="3">
        <v>14</v>
      </c>
      <c r="C11" s="3"/>
      <c r="D11" s="3"/>
    </row>
    <row r="12">
      <c r="B12" s="4"/>
      <c r="C12" t="s" s="4">
        <v>14</v>
      </c>
      <c r="D12" t="s" s="5">
        <v>15</v>
      </c>
    </row>
    <row r="13">
      <c r="B13" t="s" s="3">
        <v>25</v>
      </c>
      <c r="C13" s="3"/>
      <c r="D13" s="3"/>
    </row>
    <row r="14">
      <c r="B14" s="4"/>
      <c r="C14" t="s" s="4">
        <v>26</v>
      </c>
      <c r="D14" t="s" s="5">
        <v>27</v>
      </c>
    </row>
    <row r="15">
      <c r="B15" s="4"/>
      <c r="C15" t="s" s="4">
        <v>33</v>
      </c>
      <c r="D15" t="s" s="5">
        <v>34</v>
      </c>
    </row>
    <row r="16">
      <c r="B16" t="s" s="3">
        <v>43</v>
      </c>
      <c r="C16" s="3"/>
      <c r="D16" s="3"/>
    </row>
    <row r="17">
      <c r="B17" s="4"/>
      <c r="C17" t="s" s="4">
        <v>44</v>
      </c>
      <c r="D17" t="s" s="5">
        <v>43</v>
      </c>
    </row>
    <row r="18">
      <c r="B18" t="s" s="3">
        <v>49</v>
      </c>
      <c r="C18" s="3"/>
      <c r="D18" s="3"/>
    </row>
    <row r="19">
      <c r="B19" s="4"/>
      <c r="C19" t="s" s="4">
        <v>49</v>
      </c>
      <c r="D19" t="s" s="5">
        <v>50</v>
      </c>
    </row>
    <row r="20">
      <c r="B20" t="s" s="3">
        <v>76</v>
      </c>
      <c r="C20" s="3"/>
      <c r="D20" s="3"/>
    </row>
    <row r="21">
      <c r="B21" s="4"/>
      <c r="C21" t="s" s="4">
        <v>77</v>
      </c>
      <c r="D21" t="s" s="5">
        <v>78</v>
      </c>
    </row>
  </sheetData>
  <mergeCells count="1">
    <mergeCell ref="B3:D3"/>
  </mergeCells>
  <hyperlinks>
    <hyperlink ref="D10" location="'Sales - Profit'!R2C1" tooltip="" display="Sales - Profit"/>
    <hyperlink ref="D12" location="'Cashflow - Cashflow'!R3C2" tooltip="" display="Cashflow - Cashflow"/>
    <hyperlink ref="D14" location="'Balance shhet - Assets'!R2C1" tooltip="" display="Balance shhet - Assets"/>
    <hyperlink ref="D15" location="'Balance shhet - Liabilities'!R2C1" tooltip="" display="Balance shhet - Liabilities"/>
    <hyperlink ref="D17" location="'Share price '!R2C1" tooltip="" display="Share price "/>
    <hyperlink ref="D19" location="'Model - Model'!R3C2" tooltip="" display="Model - Model"/>
    <hyperlink ref="D21" location="'Valuation  - Valuation'!R3C2" tooltip="" display="Valuation  - Valuation"/>
  </hyperlinks>
</worksheet>
</file>

<file path=xl/worksheets/sheet2.xml><?xml version="1.0" encoding="utf-8"?>
<worksheet xmlns:r="http://schemas.openxmlformats.org/officeDocument/2006/relationships" xmlns="http://schemas.openxmlformats.org/spreadsheetml/2006/main">
  <sheetPr>
    <pageSetUpPr fitToPage="1"/>
  </sheetPr>
  <dimension ref="A2:H2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9.80469" style="6" customWidth="1"/>
    <col min="2" max="8" width="9.88281" style="6" customWidth="1"/>
    <col min="9" max="16384" width="16.3516" style="6" customWidth="1"/>
  </cols>
  <sheetData>
    <row r="1" ht="27.65" customHeight="1">
      <c r="A1" t="s" s="7">
        <v>5</v>
      </c>
      <c r="B1" s="7"/>
      <c r="C1" s="7"/>
      <c r="D1" s="7"/>
      <c r="E1" s="7"/>
      <c r="F1" s="7"/>
      <c r="G1" s="7"/>
      <c r="H1" s="7"/>
    </row>
    <row r="2" ht="32.25" customHeight="1">
      <c r="A2" t="s" s="8">
        <v>7</v>
      </c>
      <c r="B2" t="s" s="8">
        <v>8</v>
      </c>
      <c r="C2" t="s" s="8">
        <v>9</v>
      </c>
      <c r="D2" t="s" s="8">
        <v>10</v>
      </c>
      <c r="E2" t="s" s="8">
        <v>11</v>
      </c>
      <c r="F2" t="s" s="8">
        <v>12</v>
      </c>
      <c r="G2" t="s" s="8">
        <v>13</v>
      </c>
      <c r="H2" t="s" s="8">
        <v>11</v>
      </c>
    </row>
    <row r="3" ht="20.25" customHeight="1">
      <c r="A3" s="9">
        <v>2017</v>
      </c>
      <c r="B3" s="10">
        <f>1342-B4</f>
        <v>661</v>
      </c>
      <c r="C3" s="11">
        <f>300+5+13-C4</f>
        <v>157</v>
      </c>
      <c r="D3" s="11">
        <f>B3+C3</f>
        <v>818</v>
      </c>
      <c r="E3" s="12"/>
      <c r="F3" s="13"/>
      <c r="G3" s="14">
        <f>('Cashflow - Cashflow'!C4+'Cashflow - Cashflow'!D4+'Cashflow - Cashflow'!E4-D3)/D3</f>
        <v>-0.872860635696822</v>
      </c>
      <c r="H3" s="14"/>
    </row>
    <row r="4" ht="20.05" customHeight="1">
      <c r="A4" s="15"/>
      <c r="B4" s="16">
        <v>681</v>
      </c>
      <c r="C4" s="17">
        <f>152+3+6</f>
        <v>161</v>
      </c>
      <c r="D4" s="17">
        <f>B4+C4</f>
        <v>842</v>
      </c>
      <c r="E4" s="18"/>
      <c r="F4" s="19">
        <f>D4/D3-1</f>
        <v>0.0293398533007335</v>
      </c>
      <c r="G4" s="20">
        <f>('Cashflow - Cashflow'!C5+'Cashflow - Cashflow'!D5+'Cashflow - Cashflow'!E5-D4)/D4</f>
        <v>-0.878859857482185</v>
      </c>
      <c r="H4" s="20"/>
    </row>
    <row r="5" ht="20.05" customHeight="1">
      <c r="A5" s="15"/>
      <c r="B5" s="16">
        <v>691</v>
      </c>
      <c r="C5" s="17">
        <v>139</v>
      </c>
      <c r="D5" s="17">
        <v>790</v>
      </c>
      <c r="E5" s="18"/>
      <c r="F5" s="19">
        <f>D5/D4-1</f>
        <v>-0.0617577197149644</v>
      </c>
      <c r="G5" s="20">
        <f>('Cashflow - Cashflow'!C6+'Cashflow - Cashflow'!D6+'Cashflow - Cashflow'!E6-D5)/D5</f>
        <v>-0.870886075949367</v>
      </c>
      <c r="H5" s="20"/>
    </row>
    <row r="6" ht="20.05" customHeight="1">
      <c r="A6" s="15"/>
      <c r="B6" s="16">
        <v>659</v>
      </c>
      <c r="C6" s="17">
        <v>145</v>
      </c>
      <c r="D6" s="17">
        <v>698</v>
      </c>
      <c r="E6" s="18"/>
      <c r="F6" s="19">
        <f>D6/D5-1</f>
        <v>-0.116455696202532</v>
      </c>
      <c r="G6" s="20">
        <f>('Cashflow - Cashflow'!C7+'Cashflow - Cashflow'!D7+'Cashflow - Cashflow'!E7-D6)/D6</f>
        <v>-0.911174785100287</v>
      </c>
      <c r="H6" s="20"/>
    </row>
    <row r="7" ht="20.05" customHeight="1">
      <c r="A7" s="21">
        <v>2018</v>
      </c>
      <c r="B7" s="16">
        <f>1320-B8</f>
        <v>655</v>
      </c>
      <c r="C7" s="17">
        <f>265+5+53-C8</f>
        <v>161</v>
      </c>
      <c r="D7" s="17">
        <f>B7+C7</f>
        <v>816</v>
      </c>
      <c r="E7" s="18"/>
      <c r="F7" s="19">
        <f>D7/D6-1</f>
        <v>0.169054441260745</v>
      </c>
      <c r="G7" s="20">
        <f>('Cashflow - Cashflow'!C8+'Cashflow - Cashflow'!D8+'Cashflow - Cashflow'!E8-D7)/D7</f>
        <v>-0.852941176470588</v>
      </c>
      <c r="H7" s="20"/>
    </row>
    <row r="8" ht="20.05" customHeight="1">
      <c r="A8" s="15"/>
      <c r="B8" s="16">
        <v>665</v>
      </c>
      <c r="C8" s="17">
        <f>134+3+25</f>
        <v>162</v>
      </c>
      <c r="D8" s="17">
        <f>B8+C8</f>
        <v>827</v>
      </c>
      <c r="E8" s="18"/>
      <c r="F8" s="19">
        <f>D8/D7-1</f>
        <v>0.0134803921568627</v>
      </c>
      <c r="G8" s="20">
        <f>('Cashflow - Cashflow'!C9+'Cashflow - Cashflow'!D9+'Cashflow - Cashflow'!E9-D8)/D8</f>
        <v>-0.873035066505441</v>
      </c>
      <c r="H8" s="20"/>
    </row>
    <row r="9" ht="20.05" customHeight="1">
      <c r="A9" s="15"/>
      <c r="B9" s="16">
        <v>646</v>
      </c>
      <c r="C9" s="17">
        <f>139+5</f>
        <v>144</v>
      </c>
      <c r="D9" s="17">
        <f>B9+C9</f>
        <v>790</v>
      </c>
      <c r="E9" s="18"/>
      <c r="F9" s="19">
        <f>D9/D8-1</f>
        <v>-0.0447400241837969</v>
      </c>
      <c r="G9" s="20">
        <f>('Cashflow - Cashflow'!C10+'Cashflow - Cashflow'!D10+'Cashflow - Cashflow'!E10-D9)/D9</f>
        <v>-0.862025316455696</v>
      </c>
      <c r="H9" s="20"/>
    </row>
    <row r="10" ht="20.05" customHeight="1">
      <c r="A10" s="15"/>
      <c r="B10" s="16">
        <v>929</v>
      </c>
      <c r="C10" s="17">
        <v>163</v>
      </c>
      <c r="D10" s="17">
        <v>1155</v>
      </c>
      <c r="E10" s="18"/>
      <c r="F10" s="19">
        <f>D10/D9-1</f>
        <v>0.462025316455696</v>
      </c>
      <c r="G10" s="20">
        <f>('Cashflow - Cashflow'!C11+'Cashflow - Cashflow'!D11+'Cashflow - Cashflow'!E11-D10)/D10</f>
        <v>-0.939393939393939</v>
      </c>
      <c r="H10" s="20"/>
    </row>
    <row r="11" ht="20.05" customHeight="1">
      <c r="A11" s="21">
        <v>2019</v>
      </c>
      <c r="B11" s="16">
        <f>2097-B12</f>
        <v>1035</v>
      </c>
      <c r="C11" s="17">
        <f>509-C12</f>
        <v>248</v>
      </c>
      <c r="D11" s="17">
        <f>B11+C11</f>
        <v>1283</v>
      </c>
      <c r="E11" s="18"/>
      <c r="F11" s="19">
        <f>D11/D10-1</f>
        <v>0.110822510822511</v>
      </c>
      <c r="G11" s="20">
        <f>('Cashflow - Cashflow'!C12+'Cashflow - Cashflow'!D12+'Cashflow - Cashflow'!E12-D11)/D11</f>
        <v>-0.845674201091193</v>
      </c>
      <c r="H11" s="20"/>
    </row>
    <row r="12" ht="20.05" customHeight="1">
      <c r="A12" s="15"/>
      <c r="B12" s="16">
        <v>1062</v>
      </c>
      <c r="C12" s="17">
        <v>261</v>
      </c>
      <c r="D12" s="17">
        <f>B12+C12</f>
        <v>1323</v>
      </c>
      <c r="E12" s="18"/>
      <c r="F12" s="19">
        <f>D12/D11-1</f>
        <v>0.0311769290724864</v>
      </c>
      <c r="G12" s="20">
        <f>('Cashflow - Cashflow'!C13+'Cashflow - Cashflow'!D13+'Cashflow - Cashflow'!E13-D12)/D12</f>
        <v>-0.848904006046863</v>
      </c>
      <c r="H12" s="20"/>
    </row>
    <row r="13" ht="20.05" customHeight="1">
      <c r="A13" s="15"/>
      <c r="B13" s="16">
        <v>1089</v>
      </c>
      <c r="C13" s="17">
        <v>266</v>
      </c>
      <c r="D13" s="17">
        <f>B13+C13</f>
        <v>1355</v>
      </c>
      <c r="E13" s="18"/>
      <c r="F13" s="19">
        <f>D13/D12-1</f>
        <v>0.0241874527588813</v>
      </c>
      <c r="G13" s="20">
        <f>('Cashflow - Cashflow'!C14+'Cashflow - Cashflow'!D14+'Cashflow - Cashflow'!E14-D13)/D13</f>
        <v>-0.716531365313653</v>
      </c>
      <c r="H13" s="20"/>
    </row>
    <row r="14" ht="20.05" customHeight="1">
      <c r="A14" s="15"/>
      <c r="B14" s="16">
        <v>1083</v>
      </c>
      <c r="C14" s="17">
        <v>258</v>
      </c>
      <c r="D14" s="17">
        <v>1341</v>
      </c>
      <c r="E14" s="18"/>
      <c r="F14" s="19">
        <f>D14/D13-1</f>
        <v>-0.0103321033210332</v>
      </c>
      <c r="G14" s="20">
        <f>('Cashflow - Cashflow'!C15+'Cashflow - Cashflow'!D15+'Cashflow - Cashflow'!E15-D14)/D14</f>
        <v>-0.862788963460104</v>
      </c>
      <c r="H14" s="20"/>
    </row>
    <row r="15" ht="20.05" customHeight="1">
      <c r="A15" s="21">
        <v>2020</v>
      </c>
      <c r="B15" s="16">
        <f>1162-B16</f>
        <v>903</v>
      </c>
      <c r="C15" s="17">
        <f>260-C16</f>
        <v>214</v>
      </c>
      <c r="D15" s="17">
        <f>B15+C15</f>
        <v>1117</v>
      </c>
      <c r="E15" s="18"/>
      <c r="F15" s="19">
        <f>D15/D14-1</f>
        <v>-0.167039522744221</v>
      </c>
      <c r="G15" s="20">
        <f>('Cashflow - Cashflow'!C16+'Cashflow - Cashflow'!D16+'Cashflow - Cashflow'!E16-D15)/D15</f>
        <v>-0.917636526410027</v>
      </c>
      <c r="H15" s="20"/>
    </row>
    <row r="16" ht="20.05" customHeight="1">
      <c r="A16" s="15"/>
      <c r="B16" s="16">
        <v>259</v>
      </c>
      <c r="C16" s="17">
        <v>46</v>
      </c>
      <c r="D16" s="17">
        <f>B16+C16</f>
        <v>305</v>
      </c>
      <c r="E16" s="17"/>
      <c r="F16" s="19">
        <f>D16/D15-1</f>
        <v>-0.726947179946285</v>
      </c>
      <c r="G16" s="20">
        <f>('Cashflow - Cashflow'!C17+'Cashflow - Cashflow'!D17+'Cashflow - Cashflow'!E17-D16)/D16</f>
        <v>-1.25147540983607</v>
      </c>
      <c r="H16" s="22"/>
    </row>
    <row r="17" ht="20.05" customHeight="1">
      <c r="A17" s="15"/>
      <c r="B17" s="16">
        <v>994</v>
      </c>
      <c r="C17" s="17">
        <v>136</v>
      </c>
      <c r="D17" s="17">
        <v>1130</v>
      </c>
      <c r="E17" s="17">
        <v>457.5</v>
      </c>
      <c r="F17" s="19">
        <f>D17/D16-1</f>
        <v>2.70491803278689</v>
      </c>
      <c r="G17" s="20">
        <f>('Cashflow - Cashflow'!C18+'Cashflow - Cashflow'!D18+'Cashflow - Cashflow'!E18-D17)/D17</f>
        <v>-0.726814159292035</v>
      </c>
      <c r="H17" s="20">
        <v>-0.832318951727928</v>
      </c>
    </row>
    <row r="18" ht="20.05" customHeight="1">
      <c r="A18" s="15"/>
      <c r="B18" s="23">
        <f>B17/B16-1</f>
        <v>2.83783783783784</v>
      </c>
      <c r="C18" s="24">
        <f>C17/C16-1</f>
        <v>1.95652173913043</v>
      </c>
      <c r="D18" s="17"/>
      <c r="E18" s="17">
        <f>'Model - Model'!C6</f>
        <v>1209.1</v>
      </c>
      <c r="F18" s="19"/>
      <c r="G18" s="22"/>
      <c r="H18" s="20">
        <f>-'Model - Model'!C7</f>
        <v>-0.8184746339779529</v>
      </c>
    </row>
    <row r="19" ht="20.05" customHeight="1">
      <c r="A19" s="21">
        <v>2021</v>
      </c>
      <c r="B19" s="16"/>
      <c r="C19" s="17"/>
      <c r="D19" s="17"/>
      <c r="E19" s="17">
        <f>'Model - Model'!D6</f>
        <v>1293.737</v>
      </c>
      <c r="F19" s="19">
        <f>D17/E17-1</f>
        <v>1.46994535519126</v>
      </c>
      <c r="G19" s="22"/>
      <c r="H19" s="22"/>
    </row>
    <row r="20" ht="20.05" customHeight="1">
      <c r="A20" s="15"/>
      <c r="B20" s="16"/>
      <c r="C20" s="17"/>
      <c r="D20" s="17"/>
      <c r="E20" s="17">
        <f>'Model - Model'!E6</f>
        <v>1332.54911</v>
      </c>
      <c r="F20" s="19"/>
      <c r="G20" s="22"/>
      <c r="H20" s="22"/>
    </row>
    <row r="21" ht="20.05" customHeight="1">
      <c r="A21" s="15"/>
      <c r="B21" s="16"/>
      <c r="C21" s="17"/>
      <c r="D21" s="17"/>
      <c r="E21" s="17">
        <f>'Model - Model'!F6</f>
        <v>1359.2000922</v>
      </c>
      <c r="F21" s="19"/>
      <c r="G21" s="22"/>
      <c r="H21" s="22"/>
    </row>
  </sheetData>
  <mergeCells count="1">
    <mergeCell ref="A1:H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B3:L19"/>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3.21875" style="25" customWidth="1"/>
    <col min="2" max="2" width="8.01562" style="25" customWidth="1"/>
    <col min="3" max="12" width="8.96875" style="25" customWidth="1"/>
    <col min="13" max="16384" width="16.3516" style="25" customWidth="1"/>
  </cols>
  <sheetData>
    <row r="1" ht="41.65" customHeight="1"/>
    <row r="2" ht="27.65" customHeight="1">
      <c r="B2" t="s" s="7">
        <v>14</v>
      </c>
      <c r="C2" s="7"/>
      <c r="D2" s="7"/>
      <c r="E2" s="7"/>
      <c r="F2" s="7"/>
      <c r="G2" s="7"/>
      <c r="H2" s="7"/>
      <c r="I2" s="7"/>
      <c r="J2" s="7"/>
      <c r="K2" s="7"/>
      <c r="L2" s="7"/>
    </row>
    <row r="3" ht="44.25" customHeight="1">
      <c r="B3" t="s" s="8">
        <v>7</v>
      </c>
      <c r="C3" t="s" s="8">
        <v>16</v>
      </c>
      <c r="D3" t="s" s="8">
        <v>17</v>
      </c>
      <c r="E3" t="s" s="8">
        <v>18</v>
      </c>
      <c r="F3" t="s" s="8">
        <v>19</v>
      </c>
      <c r="G3" t="s" s="8">
        <v>20</v>
      </c>
      <c r="H3" t="s" s="8">
        <v>21</v>
      </c>
      <c r="I3" t="s" s="8">
        <v>22</v>
      </c>
      <c r="J3" t="s" s="8">
        <v>23</v>
      </c>
      <c r="K3" t="s" s="8">
        <v>11</v>
      </c>
      <c r="L3" t="s" s="8">
        <v>24</v>
      </c>
    </row>
    <row r="4" ht="20.25" customHeight="1">
      <c r="B4" s="9">
        <v>2017</v>
      </c>
      <c r="C4" s="26">
        <v>5</v>
      </c>
      <c r="D4" s="12">
        <v>70</v>
      </c>
      <c r="E4" s="12">
        <f>2+3-5+6+3+5+18+7-10</f>
        <v>29</v>
      </c>
      <c r="F4" s="12">
        <f>-2+5-1-20-7+10-4</f>
        <v>-19</v>
      </c>
      <c r="G4" s="12">
        <v>84.8</v>
      </c>
      <c r="H4" s="12">
        <v>-23</v>
      </c>
      <c r="I4" s="12">
        <v>-32</v>
      </c>
      <c r="J4" s="12">
        <f>G4+H4-F4</f>
        <v>80.8</v>
      </c>
      <c r="K4" s="12"/>
      <c r="L4" s="12">
        <f>-I4</f>
        <v>32</v>
      </c>
    </row>
    <row r="5" ht="20.05" customHeight="1">
      <c r="B5" s="15"/>
      <c r="C5" s="27">
        <v>17</v>
      </c>
      <c r="D5" s="18">
        <v>69</v>
      </c>
      <c r="E5" s="18">
        <v>16</v>
      </c>
      <c r="F5" s="18">
        <v>26</v>
      </c>
      <c r="G5" s="18">
        <v>129.2</v>
      </c>
      <c r="H5" s="18">
        <v>-143</v>
      </c>
      <c r="I5" s="18">
        <v>-21</v>
      </c>
      <c r="J5" s="18">
        <f>G5+H5-F5</f>
        <v>-39.8</v>
      </c>
      <c r="K5" s="18"/>
      <c r="L5" s="18">
        <f>-I5+L4</f>
        <v>53</v>
      </c>
    </row>
    <row r="6" ht="20.05" customHeight="1">
      <c r="B6" s="15"/>
      <c r="C6" s="27">
        <v>790</v>
      </c>
      <c r="D6" s="18">
        <v>67</v>
      </c>
      <c r="E6" s="18">
        <v>-755</v>
      </c>
      <c r="F6" s="18">
        <v>37</v>
      </c>
      <c r="G6" s="18">
        <v>141</v>
      </c>
      <c r="H6" s="18">
        <v>-26</v>
      </c>
      <c r="I6" s="18">
        <v>-74</v>
      </c>
      <c r="J6" s="18">
        <f>G6+H6-F6</f>
        <v>78</v>
      </c>
      <c r="K6" s="18"/>
      <c r="L6" s="18">
        <f>-I6+L5</f>
        <v>127</v>
      </c>
    </row>
    <row r="7" ht="20.05" customHeight="1">
      <c r="B7" s="15"/>
      <c r="C7" s="27">
        <v>-339</v>
      </c>
      <c r="D7" s="18">
        <v>61</v>
      </c>
      <c r="E7" s="18">
        <v>340</v>
      </c>
      <c r="F7" s="18">
        <v>63</v>
      </c>
      <c r="G7" s="18">
        <v>123</v>
      </c>
      <c r="H7" s="18">
        <v>-30</v>
      </c>
      <c r="I7" s="18">
        <v>-80</v>
      </c>
      <c r="J7" s="18">
        <f>G7+H7-F7</f>
        <v>30</v>
      </c>
      <c r="K7" s="18"/>
      <c r="L7" s="18">
        <f>-I7+L6</f>
        <v>207</v>
      </c>
    </row>
    <row r="8" ht="20.05" customHeight="1">
      <c r="B8" s="21">
        <v>2018</v>
      </c>
      <c r="C8" s="27">
        <v>45</v>
      </c>
      <c r="D8" s="18">
        <v>60</v>
      </c>
      <c r="E8" s="18">
        <f>2+1-5+6+6+3+1+1</f>
        <v>15</v>
      </c>
      <c r="F8" s="18">
        <f>4-7-1-4-51+6-1</f>
        <v>-54</v>
      </c>
      <c r="G8" s="18">
        <v>67</v>
      </c>
      <c r="H8" s="18">
        <v>-62</v>
      </c>
      <c r="I8" s="18">
        <v>-64</v>
      </c>
      <c r="J8" s="18">
        <f>G8+H8-F8</f>
        <v>59</v>
      </c>
      <c r="K8" s="18"/>
      <c r="L8" s="18">
        <f>-I8+L7</f>
        <v>271</v>
      </c>
    </row>
    <row r="9" ht="20.05" customHeight="1">
      <c r="B9" s="15"/>
      <c r="C9" s="27">
        <v>54</v>
      </c>
      <c r="D9" s="18">
        <v>59</v>
      </c>
      <c r="E9" s="18">
        <v>-8</v>
      </c>
      <c r="F9" s="18">
        <v>35</v>
      </c>
      <c r="G9" s="18">
        <v>140</v>
      </c>
      <c r="H9" s="18">
        <v>-17</v>
      </c>
      <c r="I9" s="18">
        <v>-142</v>
      </c>
      <c r="J9" s="18">
        <f>G9+H9-F9</f>
        <v>88</v>
      </c>
      <c r="K9" s="18"/>
      <c r="L9" s="18">
        <f>-I9+L8</f>
        <v>413</v>
      </c>
    </row>
    <row r="10" ht="20.05" customHeight="1">
      <c r="B10" s="15"/>
      <c r="C10" s="27">
        <v>37</v>
      </c>
      <c r="D10" s="18">
        <v>57</v>
      </c>
      <c r="E10" s="18">
        <v>15</v>
      </c>
      <c r="F10" s="18">
        <v>-12</v>
      </c>
      <c r="G10" s="18">
        <v>93</v>
      </c>
      <c r="H10" s="18">
        <v>-5</v>
      </c>
      <c r="I10" s="18">
        <v>-44</v>
      </c>
      <c r="J10" s="18">
        <f>G10+H10-F10</f>
        <v>100</v>
      </c>
      <c r="K10" s="18"/>
      <c r="L10" s="18">
        <f>-I10+L9</f>
        <v>457</v>
      </c>
    </row>
    <row r="11" ht="20.05" customHeight="1">
      <c r="B11" s="15"/>
      <c r="C11" s="27">
        <v>-42</v>
      </c>
      <c r="D11" s="18">
        <v>93</v>
      </c>
      <c r="E11" s="18">
        <v>19</v>
      </c>
      <c r="F11" s="18">
        <v>-19</v>
      </c>
      <c r="G11" s="18">
        <v>53</v>
      </c>
      <c r="H11" s="18">
        <v>-1339</v>
      </c>
      <c r="I11" s="18">
        <v>1522</v>
      </c>
      <c r="J11" s="18">
        <f>G11+H11-F11</f>
        <v>-1267</v>
      </c>
      <c r="K11" s="22"/>
      <c r="L11" s="18">
        <f>-I11+L10</f>
        <v>-1065</v>
      </c>
    </row>
    <row r="12" ht="20.05" customHeight="1">
      <c r="B12" s="21">
        <v>2019</v>
      </c>
      <c r="C12" s="27">
        <v>41</v>
      </c>
      <c r="D12" s="18">
        <v>104</v>
      </c>
      <c r="E12" s="18">
        <f>2+30+5+1-6+7+11+3</f>
        <v>53</v>
      </c>
      <c r="F12" s="18">
        <f>-3-8-1+1-25+5-39-3</f>
        <v>-73</v>
      </c>
      <c r="G12" s="18">
        <v>126</v>
      </c>
      <c r="H12" s="18">
        <v>-147</v>
      </c>
      <c r="I12" s="18">
        <v>-46</v>
      </c>
      <c r="J12" s="18">
        <f>G12+H12-F12</f>
        <v>52</v>
      </c>
      <c r="K12" s="22"/>
      <c r="L12" s="18">
        <f>-I12+L11</f>
        <v>-1019</v>
      </c>
    </row>
    <row r="13" ht="20.05" customHeight="1">
      <c r="B13" s="15"/>
      <c r="C13" s="27">
        <v>51.3</v>
      </c>
      <c r="D13" s="18">
        <v>106.1</v>
      </c>
      <c r="E13" s="18">
        <v>42.5</v>
      </c>
      <c r="F13" s="18">
        <v>-9</v>
      </c>
      <c r="G13" s="18">
        <v>189</v>
      </c>
      <c r="H13" s="18">
        <v>-348</v>
      </c>
      <c r="I13" s="18">
        <v>132.9</v>
      </c>
      <c r="J13" s="18">
        <f>G13+H13-F13</f>
        <v>-150</v>
      </c>
      <c r="K13" s="22"/>
      <c r="L13" s="18">
        <f>-I13+L12</f>
        <v>-1151.9</v>
      </c>
    </row>
    <row r="14" ht="20.05" customHeight="1">
      <c r="B14" s="15"/>
      <c r="C14" s="27">
        <v>84.7</v>
      </c>
      <c r="D14" s="18">
        <v>209.9</v>
      </c>
      <c r="E14" s="18">
        <v>89.5</v>
      </c>
      <c r="F14" s="18">
        <v>-57</v>
      </c>
      <c r="G14" s="18">
        <v>330</v>
      </c>
      <c r="H14" s="18">
        <v>-194</v>
      </c>
      <c r="I14" s="18">
        <v>-172.9</v>
      </c>
      <c r="J14" s="18">
        <f>G14+H14-F14</f>
        <v>193</v>
      </c>
      <c r="K14" s="22"/>
      <c r="L14" s="18">
        <f>-I14+L13</f>
        <v>-979</v>
      </c>
    </row>
    <row r="15" ht="20.05" customHeight="1">
      <c r="B15" s="15"/>
      <c r="C15" s="27">
        <v>-93</v>
      </c>
      <c r="D15" s="18">
        <v>98</v>
      </c>
      <c r="E15" s="18">
        <v>179</v>
      </c>
      <c r="F15" s="18">
        <v>3</v>
      </c>
      <c r="G15" s="18">
        <v>185</v>
      </c>
      <c r="H15" s="18">
        <v>-66</v>
      </c>
      <c r="I15" s="18">
        <v>-82</v>
      </c>
      <c r="J15" s="18">
        <f>G15+H15-F15</f>
        <v>116</v>
      </c>
      <c r="K15" s="18"/>
      <c r="L15" s="18">
        <f>-I15+L14</f>
        <v>-897</v>
      </c>
    </row>
    <row r="16" ht="20.05" customHeight="1">
      <c r="B16" s="21">
        <v>2020</v>
      </c>
      <c r="C16" s="27">
        <v>-609</v>
      </c>
      <c r="D16" s="18">
        <v>96</v>
      </c>
      <c r="E16" s="18">
        <f>2+22-2+22+1-4+9-67+6+616</f>
        <v>605</v>
      </c>
      <c r="F16" s="18">
        <f>39-4+7+29-101-32-31-30</f>
        <v>-123</v>
      </c>
      <c r="G16" s="18">
        <v>-33</v>
      </c>
      <c r="H16" s="18">
        <v>-183</v>
      </c>
      <c r="I16" s="18">
        <v>509</v>
      </c>
      <c r="J16" s="18">
        <f>G16+H16-F16</f>
        <v>-93</v>
      </c>
      <c r="K16" s="18"/>
      <c r="L16" s="18">
        <f>-I16+L15</f>
        <v>-1406</v>
      </c>
    </row>
    <row r="17" ht="20.05" customHeight="1">
      <c r="B17" s="15"/>
      <c r="C17" s="27">
        <v>-214</v>
      </c>
      <c r="D17" s="18">
        <v>91.59999999999999</v>
      </c>
      <c r="E17" s="18">
        <v>45.7</v>
      </c>
      <c r="F17" s="18">
        <v>-23.2</v>
      </c>
      <c r="G17" s="18">
        <v>-97.90000000000001</v>
      </c>
      <c r="H17" s="18">
        <v>-35.5</v>
      </c>
      <c r="I17" s="18">
        <v>646</v>
      </c>
      <c r="J17" s="18">
        <f>G17+H17-F17</f>
        <v>-110.2</v>
      </c>
      <c r="K17" s="22"/>
      <c r="L17" s="18">
        <f>-I17+L16</f>
        <v>-2052</v>
      </c>
    </row>
    <row r="18" ht="20.05" customHeight="1">
      <c r="B18" s="15"/>
      <c r="C18" s="27">
        <v>141</v>
      </c>
      <c r="D18" s="18">
        <v>98.40000000000001</v>
      </c>
      <c r="E18" s="18">
        <v>69.3</v>
      </c>
      <c r="F18" s="18">
        <v>43.2</v>
      </c>
      <c r="G18" s="18">
        <v>351.9</v>
      </c>
      <c r="H18" s="18">
        <v>-17.5</v>
      </c>
      <c r="I18" s="18">
        <v>291</v>
      </c>
      <c r="J18" s="18">
        <f>G18+H18-F18</f>
        <v>291.2</v>
      </c>
      <c r="K18" s="18">
        <f>'Model - Model'!C9+'Model - Model'!C10</f>
        <v>192.982320057257</v>
      </c>
      <c r="L18" s="18">
        <f>-I18+L17</f>
        <v>-2343</v>
      </c>
    </row>
    <row r="19" ht="20.05" customHeight="1">
      <c r="B19" s="15"/>
      <c r="C19" s="27"/>
      <c r="D19" s="18"/>
      <c r="E19" s="18"/>
      <c r="F19" s="18"/>
      <c r="G19" s="18"/>
      <c r="H19" s="18"/>
      <c r="I19" s="28">
        <f>SUM('Model - Model'!C11:F11)</f>
        <v>-836.949161687437</v>
      </c>
      <c r="J19" s="22"/>
      <c r="K19" s="18">
        <f>SUM('Model - Model'!C9:F10)/4</f>
        <v>209.237290421859</v>
      </c>
      <c r="L19" s="18">
        <f>-I19+L18</f>
        <v>-1506.050838312560</v>
      </c>
    </row>
  </sheetData>
  <mergeCells count="1">
    <mergeCell ref="B2:L2"/>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2:H18"/>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0.8906" style="29" customWidth="1"/>
    <col min="2" max="8" width="11.875" style="29" customWidth="1"/>
    <col min="9" max="16384" width="16.3516" style="29" customWidth="1"/>
  </cols>
  <sheetData>
    <row r="1" ht="27.65" customHeight="1">
      <c r="A1" t="s" s="7">
        <v>26</v>
      </c>
      <c r="B1" s="7"/>
      <c r="C1" s="7"/>
      <c r="D1" s="7"/>
      <c r="E1" s="7"/>
      <c r="F1" s="7"/>
      <c r="G1" s="7"/>
      <c r="H1" s="7"/>
    </row>
    <row r="2" ht="32.25" customHeight="1">
      <c r="A2" t="s" s="8">
        <v>7</v>
      </c>
      <c r="B2" t="s" s="8">
        <v>28</v>
      </c>
      <c r="C2" t="s" s="8">
        <v>29</v>
      </c>
      <c r="D2" t="s" s="8">
        <v>30</v>
      </c>
      <c r="E2" t="s" s="8">
        <v>31</v>
      </c>
      <c r="F2" t="s" s="8">
        <v>17</v>
      </c>
      <c r="G2" t="s" s="8">
        <v>32</v>
      </c>
      <c r="H2" t="s" s="8">
        <v>11</v>
      </c>
    </row>
    <row r="3" ht="20.25" customHeight="1">
      <c r="A3" s="9">
        <v>2017</v>
      </c>
      <c r="B3" s="10">
        <v>259</v>
      </c>
      <c r="C3" s="11">
        <v>417</v>
      </c>
      <c r="D3" s="11">
        <f>C3-B3</f>
        <v>158</v>
      </c>
      <c r="E3" s="11">
        <f>4947-C3</f>
        <v>4530</v>
      </c>
      <c r="F3" s="12">
        <f>'Cashflow - Cashflow'!D4</f>
        <v>70</v>
      </c>
      <c r="G3" s="12">
        <f>B3-'Balance shhet - Liabilities'!B3-'Balance shhet - Liabilities'!C3</f>
        <v>-4664</v>
      </c>
      <c r="H3" s="12"/>
    </row>
    <row r="4" ht="20.05" customHeight="1">
      <c r="A4" s="15"/>
      <c r="B4" s="16">
        <v>224</v>
      </c>
      <c r="C4" s="17">
        <v>374</v>
      </c>
      <c r="D4" s="17">
        <f>C4-B4</f>
        <v>150</v>
      </c>
      <c r="E4" s="17">
        <f>4984-C4</f>
        <v>4610</v>
      </c>
      <c r="F4" s="18">
        <f>F3+'Cashflow - Cashflow'!D5</f>
        <v>139</v>
      </c>
      <c r="G4" s="18">
        <f>B4-'Balance shhet - Liabilities'!B4-'Balance shhet - Liabilities'!C4</f>
        <v>-4682</v>
      </c>
      <c r="H4" s="18"/>
    </row>
    <row r="5" ht="20.05" customHeight="1">
      <c r="A5" s="15"/>
      <c r="B5" s="16">
        <v>265</v>
      </c>
      <c r="C5" s="17">
        <v>402</v>
      </c>
      <c r="D5" s="17">
        <f>C5-B5</f>
        <v>137</v>
      </c>
      <c r="E5" s="17">
        <f>5569-C5</f>
        <v>5167</v>
      </c>
      <c r="F5" s="18">
        <f>F4+'Cashflow - Cashflow'!D6</f>
        <v>206</v>
      </c>
      <c r="G5" s="18">
        <f>B5-'Balance shhet - Liabilities'!B5-'Balance shhet - Liabilities'!C5</f>
        <v>-4606</v>
      </c>
      <c r="H5" s="18"/>
    </row>
    <row r="6" ht="20.05" customHeight="1">
      <c r="A6" s="15"/>
      <c r="B6" s="16">
        <v>278</v>
      </c>
      <c r="C6" s="17">
        <v>401</v>
      </c>
      <c r="D6" s="17">
        <f>C6-B6</f>
        <v>123</v>
      </c>
      <c r="E6" s="17">
        <f>5235-C6</f>
        <v>4834</v>
      </c>
      <c r="F6" s="18">
        <f>F5+'Cashflow - Cashflow'!D7</f>
        <v>267</v>
      </c>
      <c r="G6" s="18">
        <f>B6-'Balance shhet - Liabilities'!B6-'Balance shhet - Liabilities'!C6</f>
        <v>-4512</v>
      </c>
      <c r="H6" s="18"/>
    </row>
    <row r="7" ht="20.05" customHeight="1">
      <c r="A7" s="21">
        <v>2018</v>
      </c>
      <c r="B7" s="16">
        <v>218</v>
      </c>
      <c r="C7" s="17">
        <v>335</v>
      </c>
      <c r="D7" s="17">
        <f>C7-B7</f>
        <v>117</v>
      </c>
      <c r="E7" s="17">
        <f>5165-C7</f>
        <v>4830</v>
      </c>
      <c r="F7" s="18">
        <f>F6+'Cashflow - Cashflow'!D8</f>
        <v>327</v>
      </c>
      <c r="G7" s="18">
        <f>B7-'Balance shhet - Liabilities'!B7-'Balance shhet - Liabilities'!C7</f>
        <v>-4503</v>
      </c>
      <c r="H7" s="18"/>
    </row>
    <row r="8" ht="20.05" customHeight="1">
      <c r="A8" s="15"/>
      <c r="B8" s="16">
        <v>200</v>
      </c>
      <c r="C8" s="17">
        <v>309</v>
      </c>
      <c r="D8" s="17">
        <f>C8-B8</f>
        <v>109</v>
      </c>
      <c r="E8" s="17">
        <f>5092-C8</f>
        <v>4783</v>
      </c>
      <c r="F8" s="18">
        <f>F7+'Cashflow - Cashflow'!D9</f>
        <v>386</v>
      </c>
      <c r="G8" s="18">
        <f>B8-'Balance shhet - Liabilities'!B8-'Balance shhet - Liabilities'!C8</f>
        <v>-4384</v>
      </c>
      <c r="H8" s="18"/>
    </row>
    <row r="9" ht="20.05" customHeight="1">
      <c r="A9" s="15"/>
      <c r="B9" s="16">
        <v>244.5</v>
      </c>
      <c r="C9" s="17">
        <v>348</v>
      </c>
      <c r="D9" s="17">
        <f>C9-B9</f>
        <v>103.5</v>
      </c>
      <c r="E9" s="17">
        <f>5084-C9</f>
        <v>4736</v>
      </c>
      <c r="F9" s="18">
        <f>F8+'Cashflow - Cashflow'!D10</f>
        <v>443</v>
      </c>
      <c r="G9" s="18">
        <f>B9-'Balance shhet - Liabilities'!B9-'Balance shhet - Liabilities'!C9</f>
        <v>-4298.5</v>
      </c>
      <c r="H9" s="18"/>
    </row>
    <row r="10" ht="20.05" customHeight="1">
      <c r="A10" s="15"/>
      <c r="B10" s="16">
        <v>480</v>
      </c>
      <c r="C10" s="17">
        <v>678</v>
      </c>
      <c r="D10" s="17">
        <f>C10-B10</f>
        <v>198</v>
      </c>
      <c r="E10" s="17">
        <f>10961-C10</f>
        <v>10283</v>
      </c>
      <c r="F10" s="18">
        <f>F9+'Cashflow - Cashflow'!D11</f>
        <v>536</v>
      </c>
      <c r="G10" s="18">
        <f>B10-'Balance shhet - Liabilities'!B10-'Balance shhet - Liabilities'!C10</f>
        <v>-9081</v>
      </c>
      <c r="H10" s="18"/>
    </row>
    <row r="11" ht="20.05" customHeight="1">
      <c r="A11" s="21">
        <v>2019</v>
      </c>
      <c r="B11" s="16">
        <v>400</v>
      </c>
      <c r="C11" s="17">
        <v>639</v>
      </c>
      <c r="D11" s="17">
        <f>C11-B11</f>
        <v>239</v>
      </c>
      <c r="E11" s="17">
        <f>13498-C11</f>
        <v>12859</v>
      </c>
      <c r="F11" s="18">
        <f>F10+'Cashflow - Cashflow'!D12</f>
        <v>640</v>
      </c>
      <c r="G11" s="18">
        <f>B11-'Balance shhet - Liabilities'!B11-'Balance shhet - Liabilities'!C11</f>
        <v>-6258</v>
      </c>
      <c r="H11" s="18"/>
    </row>
    <row r="12" ht="20.05" customHeight="1">
      <c r="A12" s="15"/>
      <c r="B12" s="16">
        <v>379</v>
      </c>
      <c r="C12" s="17">
        <v>609</v>
      </c>
      <c r="D12" s="17">
        <f>C12-B12</f>
        <v>230</v>
      </c>
      <c r="E12" s="17">
        <f>14209-C12</f>
        <v>13600</v>
      </c>
      <c r="F12" s="18">
        <f>F11+'Cashflow - Cashflow'!D13</f>
        <v>746.1</v>
      </c>
      <c r="G12" s="18">
        <f>B12-'Balance shhet - Liabilities'!B12-'Balance shhet - Liabilities'!C12</f>
        <v>-6467</v>
      </c>
      <c r="H12" s="18"/>
    </row>
    <row r="13" ht="20.05" customHeight="1">
      <c r="A13" s="15"/>
      <c r="B13" s="16">
        <v>407</v>
      </c>
      <c r="C13" s="17">
        <v>628</v>
      </c>
      <c r="D13" s="17">
        <f>C13-B13</f>
        <v>221</v>
      </c>
      <c r="E13" s="17">
        <f>14318-C13</f>
        <v>13690</v>
      </c>
      <c r="F13" s="18">
        <f>F12+'Cashflow - Cashflow'!D14</f>
        <v>956</v>
      </c>
      <c r="G13" s="18">
        <f>B13-'Balance shhet - Liabilities'!B13-'Balance shhet - Liabilities'!C13</f>
        <v>-6334</v>
      </c>
      <c r="H13" s="18"/>
    </row>
    <row r="14" ht="20.05" customHeight="1">
      <c r="A14" s="15"/>
      <c r="B14" s="16">
        <v>437</v>
      </c>
      <c r="C14" s="17">
        <v>643</v>
      </c>
      <c r="D14" s="17">
        <f>C14-B14</f>
        <v>206</v>
      </c>
      <c r="E14" s="17">
        <f>14195-C14</f>
        <v>13552</v>
      </c>
      <c r="F14" s="18">
        <f>F13+'Cashflow - Cashflow'!D15</f>
        <v>1054</v>
      </c>
      <c r="G14" s="18">
        <f>B14-'Balance shhet - Liabilities'!B14-'Balance shhet - Liabilities'!C14</f>
        <v>-6091</v>
      </c>
      <c r="H14" s="18"/>
    </row>
    <row r="15" ht="20.05" customHeight="1">
      <c r="A15" s="21">
        <v>2020</v>
      </c>
      <c r="B15" s="16">
        <v>731</v>
      </c>
      <c r="C15" s="17">
        <v>1270</v>
      </c>
      <c r="D15" s="17">
        <f>C15-B15</f>
        <v>539</v>
      </c>
      <c r="E15" s="17">
        <f>13938-C15</f>
        <v>12668</v>
      </c>
      <c r="F15" s="18">
        <f>F14+'Cashflow - Cashflow'!D16</f>
        <v>1150</v>
      </c>
      <c r="G15" s="18">
        <f>B15-'Balance shhet - Liabilities'!B15-'Balance shhet - Liabilities'!C15</f>
        <v>-6421</v>
      </c>
      <c r="H15" s="18"/>
    </row>
    <row r="16" ht="20.05" customHeight="1">
      <c r="A16" s="15"/>
      <c r="B16" s="16">
        <v>1245</v>
      </c>
      <c r="C16" s="17">
        <v>1647</v>
      </c>
      <c r="D16" s="17">
        <f>C16-B16</f>
        <v>402</v>
      </c>
      <c r="E16" s="17">
        <f>14322-C16</f>
        <v>12675</v>
      </c>
      <c r="F16" s="18">
        <f>F15+'Cashflow - Cashflow'!D17</f>
        <v>1241.6</v>
      </c>
      <c r="G16" s="18">
        <f>B16-'Balance shhet - Liabilities'!B16-'Balance shhet - Liabilities'!C16</f>
        <v>-5992</v>
      </c>
      <c r="H16" s="22"/>
    </row>
    <row r="17" ht="20.05" customHeight="1">
      <c r="A17" s="15"/>
      <c r="B17" s="16">
        <v>1873</v>
      </c>
      <c r="C17" s="17">
        <v>2187</v>
      </c>
      <c r="D17" s="17">
        <f>C17-B17</f>
        <v>314</v>
      </c>
      <c r="E17" s="17">
        <f>14812-C17</f>
        <v>12625</v>
      </c>
      <c r="F17" s="18">
        <f>F16+'Cashflow - Cashflow'!D18</f>
        <v>1340</v>
      </c>
      <c r="G17" s="18">
        <f>B17-'Balance shhet - Liabilities'!B17-'Balance shhet - Liabilities'!C17</f>
        <v>-4679</v>
      </c>
      <c r="H17" s="18">
        <v>-5950.785920415530</v>
      </c>
    </row>
    <row r="18" ht="20.05" customHeight="1">
      <c r="A18" s="15"/>
      <c r="B18" s="30"/>
      <c r="C18" s="22"/>
      <c r="D18" s="22"/>
      <c r="E18" s="22"/>
      <c r="F18" s="22"/>
      <c r="G18" s="22"/>
      <c r="H18" s="28">
        <f>'Model - Model'!F25-'Model - Model'!F32</f>
        <v>-3923.695586818790</v>
      </c>
    </row>
  </sheetData>
  <mergeCells count="1">
    <mergeCell ref="A1:H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2:I17"/>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10.8906" style="31" customWidth="1"/>
    <col min="2" max="9" width="9.64062" style="31" customWidth="1"/>
    <col min="10" max="16384" width="16.3516" style="31" customWidth="1"/>
  </cols>
  <sheetData>
    <row r="1" ht="27.65" customHeight="1">
      <c r="A1" t="s" s="7">
        <v>33</v>
      </c>
      <c r="B1" s="7"/>
      <c r="C1" s="7"/>
      <c r="D1" s="7"/>
      <c r="E1" s="7"/>
      <c r="F1" s="7"/>
      <c r="G1" s="7"/>
      <c r="H1" s="7"/>
      <c r="I1" s="7"/>
    </row>
    <row r="2" ht="32.25" customHeight="1">
      <c r="A2" t="s" s="8">
        <v>7</v>
      </c>
      <c r="B2" t="s" s="8">
        <v>35</v>
      </c>
      <c r="C2" t="s" s="8">
        <v>36</v>
      </c>
      <c r="D2" t="s" s="8">
        <v>37</v>
      </c>
      <c r="E2" t="s" s="8">
        <v>38</v>
      </c>
      <c r="F2" t="s" s="8">
        <v>39</v>
      </c>
      <c r="G2" t="s" s="8">
        <v>40</v>
      </c>
      <c r="H2" t="s" s="8">
        <v>41</v>
      </c>
      <c r="I2" t="s" s="8">
        <v>42</v>
      </c>
    </row>
    <row r="3" ht="20.25" customHeight="1">
      <c r="A3" s="9">
        <v>2017</v>
      </c>
      <c r="B3" s="26">
        <f>58+36</f>
        <v>94</v>
      </c>
      <c r="C3" s="12">
        <f>3441+1388</f>
        <v>4829</v>
      </c>
      <c r="D3" s="12">
        <v>467</v>
      </c>
      <c r="E3" s="12">
        <v>5021</v>
      </c>
      <c r="F3" s="12">
        <f>D3-B3</f>
        <v>373</v>
      </c>
      <c r="G3" s="12">
        <f>E3-C3</f>
        <v>192</v>
      </c>
      <c r="H3" s="12">
        <v>-541</v>
      </c>
      <c r="I3" s="12">
        <f>B3+C3+F3+G3+H3-'Balance shhet - Assets'!B3-'Balance shhet - Assets'!D3-'Balance shhet - Assets'!E3</f>
        <v>0</v>
      </c>
    </row>
    <row r="4" ht="20.05" customHeight="1">
      <c r="A4" s="15"/>
      <c r="B4" s="27">
        <f>61+36</f>
        <v>97</v>
      </c>
      <c r="C4" s="18">
        <f>3506+1303</f>
        <v>4809</v>
      </c>
      <c r="D4" s="18">
        <v>501</v>
      </c>
      <c r="E4" s="18">
        <v>5001</v>
      </c>
      <c r="F4" s="18">
        <f>D4-B4</f>
        <v>404</v>
      </c>
      <c r="G4" s="18">
        <f>E4-C4</f>
        <v>192</v>
      </c>
      <c r="H4" s="18">
        <v>-518</v>
      </c>
      <c r="I4" s="18">
        <f>B4+C4+F4+G4+H4-'Balance shhet - Assets'!B4-'Balance shhet - Assets'!D4-'Balance shhet - Assets'!E4</f>
        <v>0</v>
      </c>
    </row>
    <row r="5" ht="20.05" customHeight="1">
      <c r="A5" s="15"/>
      <c r="B5" s="27">
        <f>63+36</f>
        <v>99</v>
      </c>
      <c r="C5" s="18">
        <f>3490+1282</f>
        <v>4772</v>
      </c>
      <c r="D5" s="18">
        <v>492</v>
      </c>
      <c r="E5" s="18">
        <v>4817</v>
      </c>
      <c r="F5" s="18">
        <f>D5-B5</f>
        <v>393</v>
      </c>
      <c r="G5" s="18">
        <f>E5-C5</f>
        <v>45</v>
      </c>
      <c r="H5" s="18">
        <v>260</v>
      </c>
      <c r="I5" s="18">
        <f>B5+C5+F5+G5+H5-'Balance shhet - Assets'!B5-'Balance shhet - Assets'!D5-'Balance shhet - Assets'!E5</f>
        <v>0</v>
      </c>
    </row>
    <row r="6" ht="20.05" customHeight="1">
      <c r="A6" s="15"/>
      <c r="B6" s="27">
        <f>56+36</f>
        <v>92</v>
      </c>
      <c r="C6" s="18">
        <f>3483+1215</f>
        <v>4698</v>
      </c>
      <c r="D6" s="18">
        <v>530</v>
      </c>
      <c r="E6" s="28">
        <v>4778</v>
      </c>
      <c r="F6" s="18">
        <f>D6-B6</f>
        <v>438</v>
      </c>
      <c r="G6" s="18">
        <f>E6-C6</f>
        <v>80</v>
      </c>
      <c r="H6" s="18">
        <v>-73</v>
      </c>
      <c r="I6" s="18">
        <f>B6+C6+F6+G6+H6-'Balance shhet - Assets'!B6-'Balance shhet - Assets'!D6-'Balance shhet - Assets'!E6</f>
        <v>0</v>
      </c>
    </row>
    <row r="7" ht="20.05" customHeight="1">
      <c r="A7" s="21">
        <v>2018</v>
      </c>
      <c r="B7" s="27">
        <f>45+35</f>
        <v>80</v>
      </c>
      <c r="C7" s="18">
        <f>3477+1164</f>
        <v>4641</v>
      </c>
      <c r="D7" s="18">
        <v>475</v>
      </c>
      <c r="E7" s="18">
        <v>4724</v>
      </c>
      <c r="F7" s="18">
        <f>D7-B7</f>
        <v>395</v>
      </c>
      <c r="G7" s="18">
        <f>E7-C7</f>
        <v>83</v>
      </c>
      <c r="H7" s="18">
        <v>-34</v>
      </c>
      <c r="I7" s="18">
        <f>B7+C7+F7+G7+H7-'Balance shhet - Assets'!B7-'Balance shhet - Assets'!D7-'Balance shhet - Assets'!E7</f>
        <v>0</v>
      </c>
    </row>
    <row r="8" ht="20.05" customHeight="1">
      <c r="A8" s="15"/>
      <c r="B8" s="27">
        <f>34+37</f>
        <v>71</v>
      </c>
      <c r="C8" s="18">
        <f>3472+1041</f>
        <v>4513</v>
      </c>
      <c r="D8" s="18">
        <v>489</v>
      </c>
      <c r="E8" s="28">
        <v>4575</v>
      </c>
      <c r="F8" s="18">
        <f>D8-B8</f>
        <v>418</v>
      </c>
      <c r="G8" s="18">
        <f>E8-C8</f>
        <v>62</v>
      </c>
      <c r="H8" s="18">
        <v>28</v>
      </c>
      <c r="I8" s="18">
        <f>B8+C8+F8+G8+H8-'Balance shhet - Assets'!B8-'Balance shhet - Assets'!D8-'Balance shhet - Assets'!E8</f>
        <v>0</v>
      </c>
    </row>
    <row r="9" ht="20.05" customHeight="1">
      <c r="A9" s="15"/>
      <c r="B9" s="27">
        <f>23+39</f>
        <v>62</v>
      </c>
      <c r="C9" s="18">
        <f>3467+1014</f>
        <v>4481</v>
      </c>
      <c r="D9" s="18">
        <v>473</v>
      </c>
      <c r="E9" s="18">
        <v>4541</v>
      </c>
      <c r="F9" s="18">
        <f>D9-B9</f>
        <v>411</v>
      </c>
      <c r="G9" s="18">
        <f>E9-C9</f>
        <v>60</v>
      </c>
      <c r="H9" s="18">
        <v>70</v>
      </c>
      <c r="I9" s="18">
        <f>B9+C9+F9+G9+H9-'Balance shhet - Assets'!B9-'Balance shhet - Assets'!D9-'Balance shhet - Assets'!E9</f>
        <v>0</v>
      </c>
    </row>
    <row r="10" ht="20.05" customHeight="1">
      <c r="A10" s="15"/>
      <c r="B10" s="27">
        <f>62+68</f>
        <v>130</v>
      </c>
      <c r="C10" s="18">
        <f>2350+7081</f>
        <v>9431</v>
      </c>
      <c r="D10" s="18">
        <v>738</v>
      </c>
      <c r="E10" s="18">
        <f>10230-D10</f>
        <v>9492</v>
      </c>
      <c r="F10" s="18">
        <f>D10-B10</f>
        <v>608</v>
      </c>
      <c r="G10" s="18">
        <f>E10-C10</f>
        <v>61</v>
      </c>
      <c r="H10" s="18">
        <v>731</v>
      </c>
      <c r="I10" s="18">
        <f>B10+C10+F10+G10+H10-'Balance shhet - Assets'!B10-'Balance shhet - Assets'!D10-'Balance shhet - Assets'!E10</f>
        <v>0</v>
      </c>
    </row>
    <row r="11" ht="20.05" customHeight="1">
      <c r="A11" s="21">
        <v>2019</v>
      </c>
      <c r="B11" s="27">
        <f>63+53+96+6</f>
        <v>218</v>
      </c>
      <c r="C11" s="18">
        <f>2311+4129</f>
        <v>6440</v>
      </c>
      <c r="D11" s="18">
        <v>820</v>
      </c>
      <c r="E11" s="18">
        <f>11636-D11</f>
        <v>10816</v>
      </c>
      <c r="F11" s="18">
        <f>D11-B11</f>
        <v>602</v>
      </c>
      <c r="G11" s="18">
        <f>E11-C11</f>
        <v>4376</v>
      </c>
      <c r="H11" s="18">
        <v>1862</v>
      </c>
      <c r="I11" s="18">
        <f>B11+C11+F11+G11+H11-'Balance shhet - Assets'!B11-'Balance shhet - Assets'!D11-'Balance shhet - Assets'!E11</f>
        <v>0</v>
      </c>
    </row>
    <row r="12" ht="20.05" customHeight="1">
      <c r="A12" s="15"/>
      <c r="B12" s="27">
        <f>63+50+124</f>
        <v>237</v>
      </c>
      <c r="C12" s="18">
        <f>2490+4119</f>
        <v>6609</v>
      </c>
      <c r="D12" s="18">
        <v>861</v>
      </c>
      <c r="E12" s="18">
        <f>12318-D12</f>
        <v>11457</v>
      </c>
      <c r="F12" s="18">
        <f>D12-B12</f>
        <v>624</v>
      </c>
      <c r="G12" s="18">
        <f>E12-C12</f>
        <v>4848</v>
      </c>
      <c r="H12" s="18">
        <v>1892</v>
      </c>
      <c r="I12" s="18">
        <f>B12+C12+F12+G12+H12-'Balance shhet - Assets'!B12-'Balance shhet - Assets'!D12-'Balance shhet - Assets'!E12</f>
        <v>1</v>
      </c>
    </row>
    <row r="13" ht="20.05" customHeight="1">
      <c r="A13" s="15"/>
      <c r="B13" s="27">
        <f>63+45+124+6</f>
        <v>238</v>
      </c>
      <c r="C13" s="18">
        <f>2392+4111</f>
        <v>6503</v>
      </c>
      <c r="D13" s="18">
        <v>877</v>
      </c>
      <c r="E13" s="18">
        <f>12379-D13</f>
        <v>11502</v>
      </c>
      <c r="F13" s="18">
        <f>D13-B13</f>
        <v>639</v>
      </c>
      <c r="G13" s="18">
        <f>E13-C13</f>
        <v>4999</v>
      </c>
      <c r="H13" s="18">
        <v>1939</v>
      </c>
      <c r="I13" s="18">
        <f>B13+C13+F13+G13+H13-'Balance shhet - Assets'!B13-'Balance shhet - Assets'!D13-'Balance shhet - Assets'!E13</f>
        <v>0</v>
      </c>
    </row>
    <row r="14" ht="20.05" customHeight="1">
      <c r="A14" s="15"/>
      <c r="B14" s="27">
        <f>63+41</f>
        <v>104</v>
      </c>
      <c r="C14" s="18">
        <f>2322+4102</f>
        <v>6424</v>
      </c>
      <c r="D14" s="18">
        <v>906</v>
      </c>
      <c r="E14" s="18">
        <f>12343-D14</f>
        <v>11437</v>
      </c>
      <c r="F14" s="18">
        <f>D14-B14</f>
        <v>802</v>
      </c>
      <c r="G14" s="18">
        <f>E14-C14</f>
        <v>5013</v>
      </c>
      <c r="H14" s="18">
        <v>1852</v>
      </c>
      <c r="I14" s="18">
        <f>B14+C14+F14+G14+H14-'Balance shhet - Assets'!B14-'Balance shhet - Assets'!D14-'Balance shhet - Assets'!E14</f>
        <v>0</v>
      </c>
    </row>
    <row r="15" ht="20.05" customHeight="1">
      <c r="A15" s="21">
        <v>2020</v>
      </c>
      <c r="B15" s="27">
        <f>68+36+126</f>
        <v>230</v>
      </c>
      <c r="C15" s="18">
        <f>2829+4093</f>
        <v>6922</v>
      </c>
      <c r="D15" s="18">
        <v>814</v>
      </c>
      <c r="E15" s="18">
        <f>12661-D15</f>
        <v>11847</v>
      </c>
      <c r="F15" s="18">
        <f>D15-B15</f>
        <v>584</v>
      </c>
      <c r="G15" s="18">
        <f>E15-C15</f>
        <v>4925</v>
      </c>
      <c r="H15" s="18">
        <v>1278</v>
      </c>
      <c r="I15" s="18">
        <f>B15+C15+F15+G15+H15-'Balance shhet - Assets'!B15-'Balance shhet - Assets'!D15-'Balance shhet - Assets'!E15</f>
        <v>1</v>
      </c>
    </row>
    <row r="16" ht="20.05" customHeight="1">
      <c r="A16" s="15"/>
      <c r="B16" s="27">
        <f>72+35</f>
        <v>107</v>
      </c>
      <c r="C16" s="18">
        <f>3045+4085</f>
        <v>7130</v>
      </c>
      <c r="D16" s="18">
        <v>828</v>
      </c>
      <c r="E16" s="18">
        <f>12817-D16</f>
        <v>11989</v>
      </c>
      <c r="F16" s="18">
        <f>D16-B16</f>
        <v>721</v>
      </c>
      <c r="G16" s="18">
        <f>E16-C16</f>
        <v>4859</v>
      </c>
      <c r="H16" s="18">
        <v>1505</v>
      </c>
      <c r="I16" s="18">
        <f>B16+C16+F16+G16+H16-'Balance shhet - Assets'!B16-'Balance shhet - Assets'!D16-'Balance shhet - Assets'!E16</f>
        <v>0</v>
      </c>
    </row>
    <row r="17" ht="20.05" customHeight="1">
      <c r="A17" s="15"/>
      <c r="B17" s="27">
        <f>85+35</f>
        <v>120</v>
      </c>
      <c r="C17" s="18">
        <f>2356+4076</f>
        <v>6432</v>
      </c>
      <c r="D17" s="18">
        <v>921</v>
      </c>
      <c r="E17" s="18">
        <f>12180-D17</f>
        <v>11259</v>
      </c>
      <c r="F17" s="18">
        <f>D17-B17</f>
        <v>801</v>
      </c>
      <c r="G17" s="18">
        <f>E17-C17</f>
        <v>4827</v>
      </c>
      <c r="H17" s="18">
        <v>2632</v>
      </c>
      <c r="I17" s="28">
        <f>B17+C17+F17+G17+H17-'Balance shhet - Assets'!B17-'Balance shhet - Assets'!D17-'Balance shhet - Assets'!E17</f>
        <v>0</v>
      </c>
    </row>
  </sheetData>
  <mergeCells count="1">
    <mergeCell ref="A1:I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2:D51"/>
  <sheetViews>
    <sheetView workbookViewId="0" showGridLines="0" defaultGridColor="1">
      <pane topLeftCell="B3" xSplit="1" ySplit="2" activePane="bottomRight" state="frozen"/>
    </sheetView>
  </sheetViews>
  <sheetFormatPr defaultColWidth="16.3333" defaultRowHeight="19.9" customHeight="1" outlineLevelRow="0" outlineLevelCol="0"/>
  <cols>
    <col min="1" max="1" width="9.91406" style="32" customWidth="1"/>
    <col min="2" max="4" width="9.58594" style="32" customWidth="1"/>
    <col min="5" max="16384" width="16.3516" style="32" customWidth="1"/>
  </cols>
  <sheetData>
    <row r="1" ht="27.65" customHeight="1">
      <c r="A1" t="s" s="7">
        <v>44</v>
      </c>
      <c r="B1" s="7"/>
      <c r="C1" s="7"/>
      <c r="D1" s="7"/>
    </row>
    <row r="2" ht="32.25" customHeight="1">
      <c r="A2" t="s" s="8">
        <v>45</v>
      </c>
      <c r="B2" t="s" s="8">
        <v>46</v>
      </c>
      <c r="C2" t="s" s="8">
        <v>47</v>
      </c>
      <c r="D2" t="s" s="8">
        <v>48</v>
      </c>
    </row>
    <row r="3" ht="20.25" customHeight="1">
      <c r="A3" s="9">
        <v>2017</v>
      </c>
      <c r="B3" s="10">
        <v>24.5214</v>
      </c>
      <c r="C3" s="11">
        <v>12.818137</v>
      </c>
      <c r="D3" s="33"/>
    </row>
    <row r="4" ht="20.05" customHeight="1">
      <c r="A4" s="15"/>
      <c r="B4" s="16">
        <v>23.6055</v>
      </c>
      <c r="C4" s="17">
        <v>13.459975</v>
      </c>
      <c r="D4" s="22"/>
    </row>
    <row r="5" ht="20.05" customHeight="1">
      <c r="A5" s="15"/>
      <c r="B5" s="16">
        <v>56.0967</v>
      </c>
      <c r="C5" s="17">
        <v>17.908237</v>
      </c>
      <c r="D5" s="22"/>
    </row>
    <row r="6" ht="20.05" customHeight="1">
      <c r="A6" s="15"/>
      <c r="B6" s="16">
        <v>32.6432</v>
      </c>
      <c r="C6" s="17">
        <v>17.956821</v>
      </c>
      <c r="D6" s="22"/>
    </row>
    <row r="7" ht="20.05" customHeight="1">
      <c r="A7" s="15"/>
      <c r="B7" s="16">
        <v>23.0671</v>
      </c>
      <c r="C7" s="17">
        <v>18.782759</v>
      </c>
      <c r="D7" s="22"/>
    </row>
    <row r="8" ht="20.05" customHeight="1">
      <c r="A8" s="15"/>
      <c r="B8" s="16">
        <v>29.727</v>
      </c>
      <c r="C8" s="17">
        <v>21.4</v>
      </c>
      <c r="D8" s="22"/>
    </row>
    <row r="9" ht="20.05" customHeight="1">
      <c r="A9" s="15"/>
      <c r="B9" s="16">
        <v>19.6253</v>
      </c>
      <c r="C9" s="17">
        <v>20.16</v>
      </c>
      <c r="D9" s="22"/>
    </row>
    <row r="10" ht="20.05" customHeight="1">
      <c r="A10" s="15"/>
      <c r="B10" s="16">
        <v>17.0242</v>
      </c>
      <c r="C10" s="17">
        <v>22.190001</v>
      </c>
      <c r="D10" s="22"/>
    </row>
    <row r="11" ht="20.05" customHeight="1">
      <c r="A11" s="15"/>
      <c r="B11" s="16">
        <v>15.8432</v>
      </c>
      <c r="C11" s="17">
        <v>23.389999</v>
      </c>
      <c r="D11" s="22"/>
    </row>
    <row r="12" ht="20.05" customHeight="1">
      <c r="A12" s="15"/>
      <c r="B12" s="16">
        <v>22.7433</v>
      </c>
      <c r="C12" s="17">
        <v>26.09</v>
      </c>
      <c r="D12" s="22"/>
    </row>
    <row r="13" ht="20.05" customHeight="1">
      <c r="A13" s="15"/>
      <c r="B13" s="16">
        <v>17.7586</v>
      </c>
      <c r="C13" s="17">
        <v>28.76</v>
      </c>
      <c r="D13" s="22"/>
    </row>
    <row r="14" ht="20.05" customHeight="1">
      <c r="A14" s="15"/>
      <c r="B14" s="16">
        <v>32.7886</v>
      </c>
      <c r="C14" s="17">
        <v>31.33</v>
      </c>
      <c r="D14" s="22"/>
    </row>
    <row r="15" ht="20.05" customHeight="1">
      <c r="A15" s="21">
        <v>2018</v>
      </c>
      <c r="B15" s="16">
        <v>32.9793</v>
      </c>
      <c r="C15" s="17">
        <v>30.74</v>
      </c>
      <c r="D15" s="22"/>
    </row>
    <row r="16" ht="20.05" customHeight="1">
      <c r="A16" s="15"/>
      <c r="B16" s="16">
        <v>17.8921</v>
      </c>
      <c r="C16" s="17">
        <v>31.91</v>
      </c>
      <c r="D16" s="22"/>
    </row>
    <row r="17" ht="20.05" customHeight="1">
      <c r="A17" s="15"/>
      <c r="B17" s="16">
        <v>31.4895</v>
      </c>
      <c r="C17" s="17">
        <v>26.610001</v>
      </c>
      <c r="D17" s="22"/>
    </row>
    <row r="18" ht="20.05" customHeight="1">
      <c r="A18" s="15"/>
      <c r="B18" s="16">
        <v>28.7243</v>
      </c>
      <c r="C18" s="17">
        <v>26.26</v>
      </c>
      <c r="D18" s="22"/>
    </row>
    <row r="19" ht="20.05" customHeight="1">
      <c r="A19" s="15"/>
      <c r="B19" s="16">
        <v>32.9682</v>
      </c>
      <c r="C19" s="17">
        <v>30.309999</v>
      </c>
      <c r="D19" s="22"/>
    </row>
    <row r="20" ht="20.05" customHeight="1">
      <c r="A20" s="15"/>
      <c r="B20" s="16">
        <v>27.5591</v>
      </c>
      <c r="C20" s="17">
        <v>34.080002</v>
      </c>
      <c r="D20" s="22"/>
    </row>
    <row r="21" ht="20.05" customHeight="1">
      <c r="A21" s="15"/>
      <c r="B21" s="16">
        <v>26.8964</v>
      </c>
      <c r="C21" s="17">
        <v>33.59</v>
      </c>
      <c r="D21" s="22"/>
    </row>
    <row r="22" ht="20.05" customHeight="1">
      <c r="A22" s="15"/>
      <c r="B22" s="16">
        <v>24.8529</v>
      </c>
      <c r="C22" s="17">
        <v>32.049999</v>
      </c>
      <c r="D22" s="22"/>
    </row>
    <row r="23" ht="20.05" customHeight="1">
      <c r="A23" s="15"/>
      <c r="B23" s="16">
        <v>20.4059</v>
      </c>
      <c r="C23" s="17">
        <v>34.459999</v>
      </c>
      <c r="D23" s="22"/>
    </row>
    <row r="24" ht="20.05" customHeight="1">
      <c r="A24" s="15"/>
      <c r="B24" s="16">
        <v>21.6653</v>
      </c>
      <c r="C24" s="17">
        <v>32.919998</v>
      </c>
      <c r="D24" s="22"/>
    </row>
    <row r="25" ht="20.05" customHeight="1">
      <c r="A25" s="15"/>
      <c r="B25" s="16">
        <v>78.0692</v>
      </c>
      <c r="C25" s="17">
        <v>24.280001</v>
      </c>
      <c r="D25" s="22"/>
    </row>
    <row r="26" ht="20.05" customHeight="1">
      <c r="A26" s="15"/>
      <c r="B26" s="16">
        <v>47.311</v>
      </c>
      <c r="C26" s="17">
        <v>22.110001</v>
      </c>
      <c r="D26" s="22"/>
    </row>
    <row r="27" ht="20.05" customHeight="1">
      <c r="A27" s="21">
        <v>2019</v>
      </c>
      <c r="B27" s="16">
        <v>54.8797</v>
      </c>
      <c r="C27" s="17">
        <v>18.83</v>
      </c>
      <c r="D27" s="22"/>
    </row>
    <row r="28" ht="20.05" customHeight="1">
      <c r="A28" s="15"/>
      <c r="B28" s="16">
        <v>39.8196</v>
      </c>
      <c r="C28" s="17">
        <v>24.24</v>
      </c>
      <c r="D28" s="22"/>
    </row>
    <row r="29" ht="20.05" customHeight="1">
      <c r="A29" s="15"/>
      <c r="B29" s="16">
        <v>34.5466</v>
      </c>
      <c r="C29" s="17">
        <v>24.85</v>
      </c>
      <c r="D29" s="22"/>
    </row>
    <row r="30" ht="20.05" customHeight="1">
      <c r="A30" s="15"/>
      <c r="B30" s="16">
        <v>37.7684</v>
      </c>
      <c r="C30" s="17">
        <v>20.1</v>
      </c>
      <c r="D30" s="22"/>
    </row>
    <row r="31" ht="20.05" customHeight="1">
      <c r="A31" s="15"/>
      <c r="B31" s="16">
        <v>30.7365</v>
      </c>
      <c r="C31" s="17">
        <v>21.67</v>
      </c>
      <c r="D31" s="22"/>
    </row>
    <row r="32" ht="20.05" customHeight="1">
      <c r="A32" s="15"/>
      <c r="B32" s="16">
        <v>49.4636</v>
      </c>
      <c r="C32" s="17">
        <v>18.85</v>
      </c>
      <c r="D32" s="22"/>
    </row>
    <row r="33" ht="20.05" customHeight="1">
      <c r="A33" s="15"/>
      <c r="B33" s="16">
        <v>35.9542</v>
      </c>
      <c r="C33" s="17">
        <v>19.26</v>
      </c>
      <c r="D33" s="22"/>
    </row>
    <row r="34" ht="20.05" customHeight="1">
      <c r="A34" s="15"/>
      <c r="B34" s="16">
        <v>26.5443</v>
      </c>
      <c r="C34" s="17">
        <v>19.52</v>
      </c>
      <c r="D34" s="22"/>
    </row>
    <row r="35" ht="20.05" customHeight="1">
      <c r="A35" s="15"/>
      <c r="B35" s="16">
        <v>34.2984</v>
      </c>
      <c r="C35" s="17">
        <v>19.17</v>
      </c>
      <c r="D35" s="22"/>
    </row>
    <row r="36" ht="20.05" customHeight="1">
      <c r="A36" s="15"/>
      <c r="B36" s="16">
        <v>29.1472</v>
      </c>
      <c r="C36" s="17">
        <v>18.629999</v>
      </c>
      <c r="D36" s="22"/>
    </row>
    <row r="37" ht="20.05" customHeight="1">
      <c r="A37" s="15"/>
      <c r="B37" s="16">
        <v>39.2631</v>
      </c>
      <c r="C37" s="17">
        <v>21.32</v>
      </c>
      <c r="D37" s="22"/>
    </row>
    <row r="38" ht="20.05" customHeight="1">
      <c r="A38" s="15"/>
      <c r="B38" s="16">
        <v>21.0053</v>
      </c>
      <c r="C38" s="17">
        <v>23.030001</v>
      </c>
      <c r="D38" s="22"/>
    </row>
    <row r="39" ht="20.05" customHeight="1">
      <c r="A39" s="21">
        <v>2020</v>
      </c>
      <c r="B39" s="16">
        <v>27.7378</v>
      </c>
      <c r="C39" s="17">
        <v>25.559999</v>
      </c>
      <c r="D39" s="22"/>
    </row>
    <row r="40" ht="20.05" customHeight="1">
      <c r="A40" s="15"/>
      <c r="B40" s="16">
        <v>47.4751</v>
      </c>
      <c r="C40" s="17">
        <v>29.83</v>
      </c>
      <c r="D40" s="22"/>
    </row>
    <row r="41" ht="20.05" customHeight="1">
      <c r="A41" s="15"/>
      <c r="B41" s="16">
        <v>76.37869999999999</v>
      </c>
      <c r="C41" s="17">
        <v>29.57</v>
      </c>
      <c r="D41" s="22"/>
    </row>
    <row r="42" ht="20.05" customHeight="1">
      <c r="A42" s="15"/>
      <c r="B42" s="16">
        <v>258.0592</v>
      </c>
      <c r="C42" s="17">
        <v>12.65</v>
      </c>
      <c r="D42" s="22"/>
    </row>
    <row r="43" ht="20.05" customHeight="1">
      <c r="A43" s="15"/>
      <c r="B43" s="16">
        <v>187.9982</v>
      </c>
      <c r="C43" s="17">
        <v>17.82</v>
      </c>
      <c r="D43" s="22"/>
    </row>
    <row r="44" ht="20.05" customHeight="1">
      <c r="A44" s="15"/>
      <c r="B44" s="16">
        <v>403.4479</v>
      </c>
      <c r="C44" s="17">
        <v>32.810001</v>
      </c>
      <c r="D44" s="22"/>
    </row>
    <row r="45" ht="20.05" customHeight="1">
      <c r="A45" s="15"/>
      <c r="B45" s="34">
        <v>181.194</v>
      </c>
      <c r="C45" s="35">
        <v>33.849998</v>
      </c>
      <c r="D45" s="22"/>
    </row>
    <row r="46" ht="20.05" customHeight="1">
      <c r="A46" s="15"/>
      <c r="B46" s="34">
        <v>170.9845</v>
      </c>
      <c r="C46" s="35">
        <v>51.099998</v>
      </c>
      <c r="D46" s="22"/>
    </row>
    <row r="47" ht="20.05" customHeight="1">
      <c r="A47" s="15"/>
      <c r="B47" s="34">
        <v>246.2639</v>
      </c>
      <c r="C47" s="35">
        <v>72.699997</v>
      </c>
      <c r="D47" s="22"/>
    </row>
    <row r="48" ht="20.05" customHeight="1">
      <c r="A48" s="15"/>
      <c r="B48" s="34">
        <v>115.6078</v>
      </c>
      <c r="C48" s="35">
        <v>53.98</v>
      </c>
      <c r="D48" s="22"/>
    </row>
    <row r="49" ht="20.05" customHeight="1">
      <c r="A49" s="15"/>
      <c r="B49" s="34">
        <v>88.7311</v>
      </c>
      <c r="C49" s="35">
        <v>70</v>
      </c>
      <c r="D49" s="22"/>
    </row>
    <row r="50" ht="20.05" customHeight="1">
      <c r="A50" s="15"/>
      <c r="B50" s="34">
        <v>91.596</v>
      </c>
      <c r="C50" s="35">
        <v>94.660004</v>
      </c>
      <c r="D50" s="28">
        <f>C50</f>
        <v>94.660004</v>
      </c>
    </row>
    <row r="51" ht="20.05" customHeight="1">
      <c r="A51" s="15"/>
      <c r="B51" s="34"/>
      <c r="C51" s="35"/>
      <c r="D51" s="28">
        <f>'Valuation  - Valuation'!D10</f>
        <v>179.055199844042</v>
      </c>
    </row>
  </sheetData>
  <mergeCells count="1">
    <mergeCell ref="A1:D1"/>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xl/worksheets/sheet7.xml><?xml version="1.0" encoding="utf-8"?>
<worksheet xmlns:r="http://schemas.openxmlformats.org/officeDocument/2006/relationships" xmlns="http://schemas.openxmlformats.org/spreadsheetml/2006/main">
  <sheetPr>
    <pageSetUpPr fitToPage="1"/>
  </sheetPr>
  <dimension ref="B3:F35"/>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4.60156" style="36" customWidth="1"/>
    <col min="2" max="2" width="21.4375" style="36" customWidth="1"/>
    <col min="3" max="6" width="8.27344" style="36" customWidth="1"/>
    <col min="7" max="16384" width="16.3516" style="36" customWidth="1"/>
  </cols>
  <sheetData>
    <row r="1" ht="34.7" customHeight="1"/>
    <row r="2" ht="27.65" customHeight="1">
      <c r="B2" t="s" s="7">
        <v>49</v>
      </c>
      <c r="C2" s="7"/>
      <c r="D2" s="7"/>
      <c r="E2" s="7"/>
      <c r="F2" s="7"/>
    </row>
    <row r="3" ht="20.25" customHeight="1">
      <c r="B3" t="s" s="37">
        <v>7</v>
      </c>
      <c r="C3" t="s" s="8">
        <v>51</v>
      </c>
      <c r="D3" t="s" s="8">
        <v>52</v>
      </c>
      <c r="E3" t="s" s="8">
        <v>53</v>
      </c>
      <c r="F3" t="s" s="38">
        <v>54</v>
      </c>
    </row>
    <row r="4" ht="20.25" customHeight="1">
      <c r="B4" t="s" s="39">
        <v>14</v>
      </c>
      <c r="C4" s="40"/>
      <c r="D4" s="33"/>
      <c r="E4" s="33"/>
      <c r="F4" s="33"/>
    </row>
    <row r="5" ht="20.05" customHeight="1">
      <c r="B5" t="s" s="41">
        <v>55</v>
      </c>
      <c r="C5" s="42">
        <v>0.07000000000000001</v>
      </c>
      <c r="D5" s="19">
        <v>0.07000000000000001</v>
      </c>
      <c r="E5" s="19">
        <v>0.03</v>
      </c>
      <c r="F5" s="19">
        <v>0.02</v>
      </c>
    </row>
    <row r="6" ht="20.05" customHeight="1">
      <c r="B6" t="s" s="41">
        <v>4</v>
      </c>
      <c r="C6" s="16">
        <f>'Sales - Profit'!D17*(1+C5)</f>
        <v>1209.1</v>
      </c>
      <c r="D6" s="17">
        <f>C6*(1+D5)</f>
        <v>1293.737</v>
      </c>
      <c r="E6" s="17">
        <f>D6*(1+E5)</f>
        <v>1332.54911</v>
      </c>
      <c r="F6" s="17">
        <f>E6*(1+F5)</f>
        <v>1359.2000922</v>
      </c>
    </row>
    <row r="7" ht="20.05" customHeight="1">
      <c r="B7" t="s" s="41">
        <v>56</v>
      </c>
      <c r="C7" s="43">
        <f>-AVERAGE('Sales - Profit'!G11:G14)</f>
        <v>0.8184746339779529</v>
      </c>
      <c r="D7" s="20">
        <f>C7</f>
        <v>0.8184746339779529</v>
      </c>
      <c r="E7" s="20">
        <f>D7</f>
        <v>0.8184746339779529</v>
      </c>
      <c r="F7" s="20">
        <f>E7</f>
        <v>0.8184746339779529</v>
      </c>
    </row>
    <row r="8" ht="20.05" customHeight="1">
      <c r="B8" t="s" s="41">
        <v>57</v>
      </c>
      <c r="C8" s="27">
        <f>-C6*C7</f>
        <v>-989.6176799427431</v>
      </c>
      <c r="D8" s="18">
        <f>-D6*D7</f>
        <v>-1058.890917538730</v>
      </c>
      <c r="E8" s="18">
        <f>-E6*E7</f>
        <v>-1090.6576450649</v>
      </c>
      <c r="F8" s="18">
        <f>-F6*F7</f>
        <v>-1112.470797966190</v>
      </c>
    </row>
    <row r="9" ht="20.05" customHeight="1">
      <c r="B9" t="s" s="41">
        <v>58</v>
      </c>
      <c r="C9" s="16">
        <f>C6+C8</f>
        <v>219.482320057257</v>
      </c>
      <c r="D9" s="17">
        <f>D6+D8</f>
        <v>234.846082461270</v>
      </c>
      <c r="E9" s="17">
        <f>E6+E8</f>
        <v>241.8914649351</v>
      </c>
      <c r="F9" s="17">
        <f>F6+F8</f>
        <v>246.729294233810</v>
      </c>
    </row>
    <row r="10" ht="20.05" customHeight="1">
      <c r="B10" t="s" s="41">
        <v>59</v>
      </c>
      <c r="C10" s="27">
        <f>AVERAGE('Cashflow - Cashflow'!H17:H18)</f>
        <v>-26.5</v>
      </c>
      <c r="D10" s="18">
        <f>C10</f>
        <v>-26.5</v>
      </c>
      <c r="E10" s="18">
        <f>D10</f>
        <v>-26.5</v>
      </c>
      <c r="F10" s="18">
        <f>E10</f>
        <v>-26.5</v>
      </c>
    </row>
    <row r="11" ht="20.05" customHeight="1">
      <c r="B11" t="s" s="41">
        <v>60</v>
      </c>
      <c r="C11" s="44">
        <f>C12+C13+C15</f>
        <v>-192.982320057257</v>
      </c>
      <c r="D11" s="28">
        <f>D12+D13+D15</f>
        <v>-208.346082461270</v>
      </c>
      <c r="E11" s="28">
        <f>E12+E13+E15</f>
        <v>-215.3914649351</v>
      </c>
      <c r="F11" s="28">
        <f>F12+F13+F15</f>
        <v>-220.229294233810</v>
      </c>
    </row>
    <row r="12" ht="20.05" customHeight="1">
      <c r="B12" t="s" s="41">
        <v>61</v>
      </c>
      <c r="C12" s="27">
        <f>-('Balance shhet - Liabilities'!B17+'Balance shhet - Liabilities'!C17)/20</f>
        <v>-327.6</v>
      </c>
      <c r="D12" s="18">
        <f>-C30/20</f>
        <v>-311.22</v>
      </c>
      <c r="E12" s="18">
        <f>-D30/20</f>
        <v>-295.659</v>
      </c>
      <c r="F12" s="18">
        <f>-E30/20</f>
        <v>-280.87605</v>
      </c>
    </row>
    <row r="13" ht="20.05" customHeight="1">
      <c r="B13" t="s" s="41">
        <v>62</v>
      </c>
      <c r="C13" s="44">
        <f>IF(C23&gt;0,-C23*0.3,0)</f>
        <v>-15.5346960171771</v>
      </c>
      <c r="D13" s="28">
        <f>IF(D23&gt;0,-D23*0.3,0)</f>
        <v>-20.143824738381</v>
      </c>
      <c r="E13" s="28">
        <f>IF(E23&gt;0,-E23*0.3,0)</f>
        <v>-22.257439480530</v>
      </c>
      <c r="F13" s="28">
        <f>IF(F23&gt;0,-F23*0.3,0)</f>
        <v>-23.708788270143</v>
      </c>
    </row>
    <row r="14" ht="20.05" customHeight="1">
      <c r="B14" t="s" s="41">
        <v>63</v>
      </c>
      <c r="C14" s="44">
        <f>C9+C10+C12+C13</f>
        <v>-150.152375959920</v>
      </c>
      <c r="D14" s="28">
        <f>D9+D10+D12+D13</f>
        <v>-123.017742277111</v>
      </c>
      <c r="E14" s="28">
        <f>E9+E10+E12+E13</f>
        <v>-102.524974545430</v>
      </c>
      <c r="F14" s="28">
        <f>F9+F10+F12+F13</f>
        <v>-84.355544036333</v>
      </c>
    </row>
    <row r="15" ht="20.05" customHeight="1">
      <c r="B15" t="s" s="41">
        <v>64</v>
      </c>
      <c r="C15" s="44">
        <f>-MIN(0,C14)</f>
        <v>150.152375959920</v>
      </c>
      <c r="D15" s="28">
        <f>-MIN(C31,D14)</f>
        <v>123.017742277111</v>
      </c>
      <c r="E15" s="28">
        <f>-MIN(D31,E14)</f>
        <v>102.524974545430</v>
      </c>
      <c r="F15" s="28">
        <f>-MIN(E31,F14)</f>
        <v>84.355544036333</v>
      </c>
    </row>
    <row r="16" ht="20.05" customHeight="1">
      <c r="B16" t="s" s="41">
        <v>65</v>
      </c>
      <c r="C16" s="16">
        <f>'Balance shhet - Assets'!B17</f>
        <v>1873</v>
      </c>
      <c r="D16" s="17">
        <f>C18</f>
        <v>1873</v>
      </c>
      <c r="E16" s="18">
        <f>D18</f>
        <v>1873</v>
      </c>
      <c r="F16" s="18">
        <f>E18</f>
        <v>1873</v>
      </c>
    </row>
    <row r="17" ht="20.05" customHeight="1">
      <c r="B17" t="s" s="41">
        <v>66</v>
      </c>
      <c r="C17" s="27">
        <f>C9+C10+C11</f>
        <v>0</v>
      </c>
      <c r="D17" s="18">
        <f>D9+D10+D11</f>
        <v>0</v>
      </c>
      <c r="E17" s="18">
        <f>E9+E10+E11</f>
        <v>0</v>
      </c>
      <c r="F17" s="18">
        <f>F9+F10+F11</f>
        <v>0</v>
      </c>
    </row>
    <row r="18" ht="20.05" customHeight="1">
      <c r="B18" t="s" s="41">
        <v>67</v>
      </c>
      <c r="C18" s="16">
        <f>C16+C17</f>
        <v>1873</v>
      </c>
      <c r="D18" s="18">
        <f>D16+D17</f>
        <v>1873</v>
      </c>
      <c r="E18" s="18">
        <f>E16+E17</f>
        <v>1873</v>
      </c>
      <c r="F18" s="18">
        <f>F16+F17</f>
        <v>1873</v>
      </c>
    </row>
    <row r="19" ht="20.05" customHeight="1">
      <c r="B19" t="s" s="45">
        <v>5</v>
      </c>
      <c r="C19" s="30"/>
      <c r="D19" s="22"/>
      <c r="E19" s="17">
        <f>SUM('Sales - Profit'!D14:D17)</f>
        <v>3893</v>
      </c>
      <c r="F19" s="17">
        <f>SUM(C20:F20)</f>
        <v>5194.5862022</v>
      </c>
    </row>
    <row r="20" ht="20.05" customHeight="1">
      <c r="B20" t="s" s="41">
        <v>4</v>
      </c>
      <c r="C20" s="16">
        <f>C6</f>
        <v>1209.1</v>
      </c>
      <c r="D20" s="17">
        <f>D6</f>
        <v>1293.737</v>
      </c>
      <c r="E20" s="17">
        <f>E6</f>
        <v>1332.54911</v>
      </c>
      <c r="F20" s="17">
        <f>F6</f>
        <v>1359.2000922</v>
      </c>
    </row>
    <row r="21" ht="20.05" customHeight="1">
      <c r="B21" t="s" s="41">
        <v>68</v>
      </c>
      <c r="C21" s="27">
        <f>-('Cashflow - Cashflow'!D18+'Cashflow - Cashflow'!E18)</f>
        <v>-167.7</v>
      </c>
      <c r="D21" s="18">
        <f>C21</f>
        <v>-167.7</v>
      </c>
      <c r="E21" s="18">
        <f>D21</f>
        <v>-167.7</v>
      </c>
      <c r="F21" s="18">
        <f>E21</f>
        <v>-167.7</v>
      </c>
    </row>
    <row r="22" ht="20.05" customHeight="1">
      <c r="B22" t="s" s="41">
        <v>57</v>
      </c>
      <c r="C22" s="27">
        <f>C8</f>
        <v>-989.6176799427431</v>
      </c>
      <c r="D22" s="18">
        <f>D8</f>
        <v>-1058.890917538730</v>
      </c>
      <c r="E22" s="18">
        <f>E8</f>
        <v>-1090.6576450649</v>
      </c>
      <c r="F22" s="18">
        <f>F8</f>
        <v>-1112.470797966190</v>
      </c>
    </row>
    <row r="23" ht="20.05" customHeight="1">
      <c r="B23" t="s" s="41">
        <v>5</v>
      </c>
      <c r="C23" s="44">
        <f>C20+C21+C22</f>
        <v>51.782320057257</v>
      </c>
      <c r="D23" s="28">
        <f>D20+D21+D22</f>
        <v>67.146082461270</v>
      </c>
      <c r="E23" s="28">
        <f>E20+E21+E22</f>
        <v>74.1914649351</v>
      </c>
      <c r="F23" s="28">
        <f>F20+F21+F22</f>
        <v>79.02929423381001</v>
      </c>
    </row>
    <row r="24" ht="20.05" customHeight="1">
      <c r="B24" t="s" s="46">
        <v>69</v>
      </c>
      <c r="C24" s="30"/>
      <c r="D24" s="22"/>
      <c r="E24" s="18">
        <f>SUM('Cashflow - Cashflow'!C15:C18)</f>
        <v>-775</v>
      </c>
      <c r="F24" s="28">
        <f>SUM(C23:F23)</f>
        <v>272.149161687437</v>
      </c>
    </row>
    <row r="25" ht="20.05" customHeight="1">
      <c r="B25" t="s" s="41">
        <v>28</v>
      </c>
      <c r="C25" s="16">
        <f>C18</f>
        <v>1873</v>
      </c>
      <c r="D25" s="18">
        <f>D18</f>
        <v>1873</v>
      </c>
      <c r="E25" s="18">
        <f>E18</f>
        <v>1873</v>
      </c>
      <c r="F25" s="18">
        <f>F18</f>
        <v>1873</v>
      </c>
    </row>
    <row r="26" ht="20.05" customHeight="1">
      <c r="B26" t="s" s="41">
        <v>30</v>
      </c>
      <c r="C26" s="16">
        <f>'Balance shhet - Assets'!D17</f>
        <v>314</v>
      </c>
      <c r="D26" s="17">
        <f>C26</f>
        <v>314</v>
      </c>
      <c r="E26" s="17">
        <f>D26</f>
        <v>314</v>
      </c>
      <c r="F26" s="17">
        <f>E26</f>
        <v>314</v>
      </c>
    </row>
    <row r="27" ht="20.05" customHeight="1">
      <c r="B27" t="s" s="41">
        <v>70</v>
      </c>
      <c r="C27" s="16">
        <f>'Balance shhet - Assets'!E17+'Balance shhet - Assets'!F17-C10</f>
        <v>13991.5</v>
      </c>
      <c r="D27" s="18">
        <f>C27-D10</f>
        <v>14018</v>
      </c>
      <c r="E27" s="18">
        <f>D27-E10</f>
        <v>14044.5</v>
      </c>
      <c r="F27" s="18">
        <f>E27-F10</f>
        <v>14071</v>
      </c>
    </row>
    <row r="28" ht="20.05" customHeight="1">
      <c r="B28" t="s" s="41">
        <v>17</v>
      </c>
      <c r="C28" s="27">
        <f>'Balance shhet - Assets'!F17-C21</f>
        <v>1507.7</v>
      </c>
      <c r="D28" s="18">
        <f>C28-D21</f>
        <v>1675.4</v>
      </c>
      <c r="E28" s="18">
        <f>D28-E21</f>
        <v>1843.1</v>
      </c>
      <c r="F28" s="18">
        <f>E28-F21</f>
        <v>2010.8</v>
      </c>
    </row>
    <row r="29" ht="20.05" customHeight="1">
      <c r="B29" t="s" s="41">
        <v>71</v>
      </c>
      <c r="C29" s="27">
        <f>C27-C28</f>
        <v>12483.8</v>
      </c>
      <c r="D29" s="18">
        <f>D27-D28</f>
        <v>12342.6</v>
      </c>
      <c r="E29" s="18">
        <f>E27-E28</f>
        <v>12201.4</v>
      </c>
      <c r="F29" s="18">
        <f>F27-F28</f>
        <v>12060.2</v>
      </c>
    </row>
    <row r="30" ht="20.05" customHeight="1">
      <c r="B30" t="s" s="41">
        <v>61</v>
      </c>
      <c r="C30" s="27">
        <f>'Balance shhet - Liabilities'!B17+'Balance shhet - Liabilities'!C17+C12</f>
        <v>6224.4</v>
      </c>
      <c r="D30" s="18">
        <f>C30+D12</f>
        <v>5913.18</v>
      </c>
      <c r="E30" s="18">
        <f>D30+E12</f>
        <v>5617.521</v>
      </c>
      <c r="F30" s="18">
        <f>E30+F12</f>
        <v>5336.64495</v>
      </c>
    </row>
    <row r="31" ht="20.05" customHeight="1">
      <c r="B31" t="s" s="41">
        <v>72</v>
      </c>
      <c r="C31" s="44">
        <f>C15</f>
        <v>150.152375959920</v>
      </c>
      <c r="D31" s="28">
        <f>C31+D15</f>
        <v>273.170118237031</v>
      </c>
      <c r="E31" s="28">
        <f>D31+E15</f>
        <v>375.695092782461</v>
      </c>
      <c r="F31" s="28">
        <f>E31+F15</f>
        <v>460.050636818794</v>
      </c>
    </row>
    <row r="32" ht="20.05" customHeight="1">
      <c r="B32" t="s" s="41">
        <v>73</v>
      </c>
      <c r="C32" s="27">
        <f>C30+C31</f>
        <v>6374.552375959920</v>
      </c>
      <c r="D32" s="18">
        <f>D30+D31</f>
        <v>6186.350118237030</v>
      </c>
      <c r="E32" s="18">
        <f>E30+E31</f>
        <v>5993.216092782460</v>
      </c>
      <c r="F32" s="18">
        <f>F30+F31</f>
        <v>5796.695586818790</v>
      </c>
    </row>
    <row r="33" ht="20.05" customHeight="1">
      <c r="B33" t="s" s="41">
        <v>74</v>
      </c>
      <c r="C33" s="27">
        <f>'Balance shhet - Liabilities'!F17+'Balance shhet - Liabilities'!G17</f>
        <v>5628</v>
      </c>
      <c r="D33" s="18">
        <f>C33</f>
        <v>5628</v>
      </c>
      <c r="E33" s="18">
        <f>D33</f>
        <v>5628</v>
      </c>
      <c r="F33" s="18">
        <f>E33</f>
        <v>5628</v>
      </c>
    </row>
    <row r="34" ht="20.05" customHeight="1">
      <c r="B34" t="s" s="41">
        <v>62</v>
      </c>
      <c r="C34" s="27">
        <f>'Balance shhet - Liabilities'!H17+C13+C23</f>
        <v>2668.247624040080</v>
      </c>
      <c r="D34" s="18">
        <f>C34+D23+D13</f>
        <v>2715.249881762970</v>
      </c>
      <c r="E34" s="18">
        <f>D34+E23+E13</f>
        <v>2767.183907217540</v>
      </c>
      <c r="F34" s="18">
        <f>E34+F23+F13</f>
        <v>2822.504413181210</v>
      </c>
    </row>
    <row r="35" ht="20.05" customHeight="1">
      <c r="B35" t="s" s="41">
        <v>75</v>
      </c>
      <c r="C35" s="44">
        <f>C30+C31+C33+C34-C25-C26-C29</f>
        <v>0</v>
      </c>
      <c r="D35" s="28">
        <f>D30+D31+D33+D34-D25-D26-D29</f>
        <v>1e-12</v>
      </c>
      <c r="E35" s="28">
        <f>E30+E31+E33+E34-E25-E26-E29</f>
        <v>1e-12</v>
      </c>
      <c r="F35" s="28">
        <f>F30+F31+F33+F34-F25-F26-F29</f>
        <v>4e-12</v>
      </c>
    </row>
  </sheetData>
  <mergeCells count="1">
    <mergeCell ref="B2:F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dimension ref="B3:D18"/>
  <sheetViews>
    <sheetView workbookViewId="0" showGridLines="0" defaultGridColor="1">
      <pane topLeftCell="C4" xSplit="2" ySplit="3" activePane="bottomRight" state="frozen"/>
    </sheetView>
  </sheetViews>
  <sheetFormatPr defaultColWidth="16.3333" defaultRowHeight="19.9" customHeight="1" outlineLevelRow="0" outlineLevelCol="0"/>
  <cols>
    <col min="1" max="1" width="7.07031" style="47" customWidth="1"/>
    <col min="2" max="2" width="13.1953" style="47" customWidth="1"/>
    <col min="3" max="4" width="9.92188" style="47" customWidth="1"/>
    <col min="5" max="16384" width="16.3516" style="47" customWidth="1"/>
  </cols>
  <sheetData>
    <row r="1" ht="21.5" customHeight="1"/>
    <row r="2" ht="27.65" customHeight="1">
      <c r="B2" t="s" s="7">
        <v>77</v>
      </c>
      <c r="C2" s="7"/>
      <c r="D2" s="7"/>
    </row>
    <row r="3" ht="20.25" customHeight="1">
      <c r="B3" s="48"/>
      <c r="C3" s="48"/>
      <c r="D3" s="48"/>
    </row>
    <row r="4" ht="20.25" customHeight="1">
      <c r="B4" t="s" s="49">
        <v>14</v>
      </c>
      <c r="C4" s="50">
        <v>366.834900623861</v>
      </c>
      <c r="D4" s="51">
        <f>SUM('Model - Model'!C9:F10)</f>
        <v>836.949161687437</v>
      </c>
    </row>
    <row r="5" ht="20.05" customHeight="1">
      <c r="B5" t="s" s="41">
        <v>76</v>
      </c>
      <c r="C5" s="52">
        <v>0.016</v>
      </c>
      <c r="D5" s="53">
        <v>0.016</v>
      </c>
    </row>
    <row r="6" ht="20.05" customHeight="1">
      <c r="B6" t="s" s="41">
        <v>48</v>
      </c>
      <c r="C6" s="16">
        <f>C4/C5</f>
        <v>22927.1812889913</v>
      </c>
      <c r="D6" s="17">
        <f>D4/D5</f>
        <v>52309.3226054648</v>
      </c>
    </row>
    <row r="7" ht="20.05" customHeight="1">
      <c r="B7" t="s" s="41">
        <v>79</v>
      </c>
      <c r="C7" s="44">
        <v>0.4</v>
      </c>
      <c r="D7" s="28">
        <v>0.5</v>
      </c>
    </row>
    <row r="8" ht="20.05" customHeight="1">
      <c r="B8" t="s" s="41">
        <v>80</v>
      </c>
      <c r="C8" s="16">
        <f>C7*C6</f>
        <v>9170.872515596520</v>
      </c>
      <c r="D8" s="17">
        <f>D7*D6</f>
        <v>26154.6613027324</v>
      </c>
    </row>
    <row r="9" ht="20.05" customHeight="1">
      <c r="B9" t="s" s="41">
        <v>81</v>
      </c>
      <c r="C9" s="54">
        <f t="shared" si="5" ref="C9:D9">9962/68.2</f>
        <v>146.070381231672</v>
      </c>
      <c r="D9" s="55">
        <f t="shared" si="5"/>
        <v>146.070381231672</v>
      </c>
    </row>
    <row r="10" ht="20.05" customHeight="1">
      <c r="B10" t="s" s="41">
        <v>82</v>
      </c>
      <c r="C10" s="56">
        <f>C8/C9</f>
        <v>62.7839294884241</v>
      </c>
      <c r="D10" s="57">
        <f>D8/D9</f>
        <v>179.055199844042</v>
      </c>
    </row>
    <row r="11" ht="20.05" customHeight="1">
      <c r="B11" t="s" s="41">
        <v>83</v>
      </c>
      <c r="C11" s="16"/>
      <c r="D11" s="17">
        <f>D9*'Share price '!C48</f>
        <v>7884.879178885650</v>
      </c>
    </row>
    <row r="12" ht="20.05" customHeight="1">
      <c r="B12" t="s" s="41">
        <v>84</v>
      </c>
      <c r="C12" s="58"/>
      <c r="D12" s="59">
        <f>D11/'Model - Model'!F19</f>
        <v>1.5179032307802</v>
      </c>
    </row>
    <row r="13" ht="20.05" customHeight="1">
      <c r="B13" t="s" s="41">
        <v>85</v>
      </c>
      <c r="C13" s="58"/>
      <c r="D13" s="59">
        <f>D11/('Model - Model'!F25+'Model - Model'!F26+'Model - Model'!F29)</f>
        <v>0.553433599506264</v>
      </c>
    </row>
    <row r="14" ht="20.05" customHeight="1">
      <c r="B14" t="s" s="41">
        <v>86</v>
      </c>
      <c r="C14" s="58"/>
      <c r="D14" s="59">
        <f>D11/'Model - Model'!F34</f>
        <v>2.79357550056005</v>
      </c>
    </row>
    <row r="15" ht="20.05" customHeight="1">
      <c r="B15" t="s" s="41">
        <v>87</v>
      </c>
      <c r="C15" s="60"/>
      <c r="D15" s="61">
        <f>'Model - Model'!F24/'Model - Model'!F34</f>
        <v>0.0964211642740006</v>
      </c>
    </row>
    <row r="16" ht="20.05" customHeight="1">
      <c r="B16" t="s" s="41">
        <v>88</v>
      </c>
      <c r="C16" s="60"/>
      <c r="D16" s="61">
        <f>'Model - Model'!F19/'Model - Model'!E19-1</f>
        <v>0.334340149550475</v>
      </c>
    </row>
    <row r="17" ht="20.05" customHeight="1">
      <c r="B17" t="s" s="41">
        <v>89</v>
      </c>
      <c r="C17" s="60"/>
      <c r="D17" s="61">
        <f>'Model - Model'!F24/'Model - Model'!E24-1</f>
        <v>-1.35116020862895</v>
      </c>
    </row>
    <row r="18" ht="20.05" customHeight="1">
      <c r="B18" t="s" s="41">
        <v>90</v>
      </c>
      <c r="C18" s="60"/>
      <c r="D18" s="61">
        <f>-('Model - Model'!C13+'Model - Model'!D13+'Model - Model'!E13+'Model - Model'!F13)/D11</f>
        <v>0.0103545972809402</v>
      </c>
    </row>
  </sheetData>
  <mergeCells count="1">
    <mergeCell ref="B2:D2"/>
  </mergeCells>
  <pageMargins left="1" right="1" top="1" bottom="1" header="0.25" footer="0.25"/>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