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het" sheetId="4" r:id="rId7"/>
    <sheet name="Share price " sheetId="5" r:id="rId8"/>
  </sheets>
</workbook>
</file>

<file path=xl/sharedStrings.xml><?xml version="1.0" encoding="utf-8"?>
<sst xmlns="http://schemas.openxmlformats.org/spreadsheetml/2006/main" uniqueCount="60">
  <si>
    <t>Financial model</t>
  </si>
  <si>
    <t>$m</t>
  </si>
  <si>
    <t>3Q 2021</t>
  </si>
  <si>
    <t>Cashflow</t>
  </si>
  <si>
    <t>Growth</t>
  </si>
  <si>
    <t>Sales</t>
  </si>
  <si>
    <t>Cost ratio</t>
  </si>
  <si>
    <t>Costs</t>
  </si>
  <si>
    <t xml:space="preserve">Operating </t>
  </si>
  <si>
    <t xml:space="preserve">Investment </t>
  </si>
  <si>
    <t xml:space="preserve">Finance </t>
  </si>
  <si>
    <t xml:space="preserve">Liabilities </t>
  </si>
  <si>
    <t>Equity</t>
  </si>
  <si>
    <t>Before revolver</t>
  </si>
  <si>
    <t xml:space="preserve">Revolver </t>
  </si>
  <si>
    <t>Beginning</t>
  </si>
  <si>
    <t>Change</t>
  </si>
  <si>
    <t xml:space="preserve">Ending </t>
  </si>
  <si>
    <t>Profit</t>
  </si>
  <si>
    <t xml:space="preserve">Non cash costs </t>
  </si>
  <si>
    <t>Balance sheet</t>
  </si>
  <si>
    <t>Other assets</t>
  </si>
  <si>
    <t xml:space="preserve">Depreciation </t>
  </si>
  <si>
    <t>Net other assets</t>
  </si>
  <si>
    <t>Revolver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</si>
  <si>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</si>
  <si>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</si>
  <si>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</si>
  <si>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</si>
  <si>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</si>
  <si>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</si>
  <si>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</si>
  <si>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</si>
  <si>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</si>
  <si>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</si>
  <si>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</si>
  <si>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</si>
  <si>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</si>
  <si>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</si>
  <si>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</si>
  <si>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</si>
  <si>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</si>
  <si>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 growth</t>
  </si>
  <si>
    <t>Cash cost ratio</t>
  </si>
  <si>
    <t xml:space="preserve">Costs </t>
  </si>
  <si>
    <t>Net profit</t>
  </si>
  <si>
    <t xml:space="preserve">Working capital </t>
  </si>
  <si>
    <t>Investmemt</t>
  </si>
  <si>
    <t xml:space="preserve">Equity </t>
  </si>
  <si>
    <t>Finance</t>
  </si>
  <si>
    <t xml:space="preserve">Free cashflow </t>
  </si>
  <si>
    <t>Capital</t>
  </si>
  <si>
    <t>Cash</t>
  </si>
  <si>
    <t>Assets</t>
  </si>
  <si>
    <t xml:space="preserve"> Check</t>
  </si>
  <si>
    <t>Net cash</t>
  </si>
  <si>
    <t>Share price</t>
  </si>
  <si>
    <t>$</t>
  </si>
  <si>
    <t>PENN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</si>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</sst>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%_);[Red]\(0%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622179</xdr:colOff>
      <xdr:row>1</xdr:row>
      <xdr:rowOff>55000</xdr:rowOff>
    </xdr:from>
    <xdr:to>
      <xdr:col>13</xdr:col>
      <xdr:colOff>178374</xdr:colOff>
      <xdr:row>46</xdr:row>
      <xdr:rowOff>189349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48079" y="495690"/>
          <a:ext cx="8268396" cy="1169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60156" style="1" customWidth="1"/>
    <col min="2" max="2" width="14.7656" style="1" customWidth="1"/>
    <col min="3" max="6" width="8.27344" style="1" customWidth="1"/>
    <col min="7" max="16384" width="16.3516" style="1" customWidth="1"/>
  </cols>
  <sheetData>
    <row r="1" ht="34.7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AVERAGE('Sales'!D18:D21)</f>
        <v>0.08522159451118121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0.05</v>
      </c>
      <c r="D5" s="12">
        <v>-0.02</v>
      </c>
      <c r="E5" s="12">
        <v>0.04</v>
      </c>
      <c r="F5" s="12">
        <v>0.05</v>
      </c>
    </row>
    <row r="6" ht="20.05" customHeight="1">
      <c r="B6" t="s" s="10">
        <v>5</v>
      </c>
      <c r="C6" s="13">
        <f>'Sales'!B21*(1+C5)</f>
        <v>1587.6</v>
      </c>
      <c r="D6" s="14">
        <f>C6*(1+D5)</f>
        <v>1555.848</v>
      </c>
      <c r="E6" s="14">
        <f>D6*(1+E5)</f>
        <v>1618.08192</v>
      </c>
      <c r="F6" s="14">
        <f>E6*(1+F5)</f>
        <v>1698.986016</v>
      </c>
    </row>
    <row r="7" ht="20.05" customHeight="1">
      <c r="B7" t="s" s="10">
        <v>6</v>
      </c>
      <c r="C7" s="15">
        <f>AVERAGE('Sales'!F21)</f>
        <v>-0.800446426386251</v>
      </c>
      <c r="D7" s="16">
        <f>C7</f>
        <v>-0.800446426386251</v>
      </c>
      <c r="E7" s="16">
        <f>D7</f>
        <v>-0.800446426386251</v>
      </c>
      <c r="F7" s="16">
        <f>E7</f>
        <v>-0.800446426386251</v>
      </c>
    </row>
    <row r="8" ht="20.05" customHeight="1">
      <c r="B8" t="s" s="10">
        <v>7</v>
      </c>
      <c r="C8" s="13">
        <f>C6*C7</f>
        <v>-1270.788746530810</v>
      </c>
      <c r="D8" s="14">
        <f>D6*D7</f>
        <v>-1245.3729716002</v>
      </c>
      <c r="E8" s="14">
        <f>E6*E7</f>
        <v>-1295.1878904642</v>
      </c>
      <c r="F8" s="14">
        <f>F6*F7</f>
        <v>-1359.947284987410</v>
      </c>
    </row>
    <row r="9" ht="20.05" customHeight="1">
      <c r="B9" t="s" s="10">
        <v>8</v>
      </c>
      <c r="C9" s="13">
        <f>C6+C8</f>
        <v>316.811253469190</v>
      </c>
      <c r="D9" s="14">
        <f>D6+D8</f>
        <v>310.4750283998</v>
      </c>
      <c r="E9" s="14">
        <f>E6+E8</f>
        <v>322.8940295358</v>
      </c>
      <c r="F9" s="14">
        <f>F6+F8</f>
        <v>339.038731012590</v>
      </c>
    </row>
    <row r="10" ht="20.05" customHeight="1">
      <c r="B10" t="s" s="10">
        <v>9</v>
      </c>
      <c r="C10" s="13">
        <f>AVERAGE('Cashflow'!G19:G22)</f>
        <v>-66.875</v>
      </c>
      <c r="D10" s="14">
        <f>C10</f>
        <v>-66.875</v>
      </c>
      <c r="E10" s="14">
        <f>D10</f>
        <v>-66.875</v>
      </c>
      <c r="F10" s="14">
        <f>E10</f>
        <v>-66.875</v>
      </c>
    </row>
    <row r="11" ht="20.05" customHeight="1">
      <c r="B11" t="s" s="10">
        <v>10</v>
      </c>
      <c r="C11" s="17">
        <f>C12+C13+C15</f>
        <v>-249.936253469190</v>
      </c>
      <c r="D11" s="18">
        <f>D12+D13+D15</f>
        <v>-243.6000283998</v>
      </c>
      <c r="E11" s="18">
        <f>E12+E13+E15</f>
        <v>-256.0190295358</v>
      </c>
      <c r="F11" s="18">
        <f>F12+F13+F15</f>
        <v>-272.163731012590</v>
      </c>
    </row>
    <row r="12" ht="20.05" customHeight="1">
      <c r="B12" t="s" s="10">
        <v>11</v>
      </c>
      <c r="C12" s="13">
        <f>-('Balance shhet'!F21)/20</f>
        <v>-633.865</v>
      </c>
      <c r="D12" s="14">
        <f>-C26/20</f>
        <v>-602.17175</v>
      </c>
      <c r="E12" s="14">
        <f>-D26/20</f>
        <v>-572.0631625</v>
      </c>
      <c r="F12" s="14">
        <f>-E26/20</f>
        <v>-543.460004375</v>
      </c>
    </row>
    <row r="13" ht="20.05" customHeight="1">
      <c r="B13" t="s" s="10">
        <v>12</v>
      </c>
      <c r="C13" s="17">
        <f>IF(C21&gt;0,-C21*0.3,0)</f>
        <v>-51.423376040757</v>
      </c>
      <c r="D13" s="18">
        <f>IF(D21&gt;0,-D21*0.3,0)</f>
        <v>-49.522508519940</v>
      </c>
      <c r="E13" s="18">
        <f>IF(E21&gt;0,-E21*0.3,0)</f>
        <v>-53.248208860740</v>
      </c>
      <c r="F13" s="18">
        <f>IF(F21&gt;0,-F21*0.3,0)</f>
        <v>-58.091619303777</v>
      </c>
    </row>
    <row r="14" ht="20.05" customHeight="1">
      <c r="B14" t="s" s="10">
        <v>13</v>
      </c>
      <c r="C14" s="17">
        <f>C9+C10+C12+C13</f>
        <v>-435.352122571567</v>
      </c>
      <c r="D14" s="18">
        <f>D9+D10+D12+D13</f>
        <v>-408.094230120140</v>
      </c>
      <c r="E14" s="18">
        <f>E9+E10+E12+E13</f>
        <v>-369.292341824940</v>
      </c>
      <c r="F14" s="18">
        <f>F9+F10+F12+F13</f>
        <v>-329.387892666187</v>
      </c>
    </row>
    <row r="15" ht="20.05" customHeight="1">
      <c r="B15" t="s" s="10">
        <v>14</v>
      </c>
      <c r="C15" s="17">
        <f>-MIN(0,C14)</f>
        <v>435.352122571567</v>
      </c>
      <c r="D15" s="18">
        <f>-MIN(C27,D14)</f>
        <v>408.094230120140</v>
      </c>
      <c r="E15" s="18">
        <f>-MIN(D27,E14)</f>
        <v>369.292341824940</v>
      </c>
      <c r="F15" s="18">
        <f>-MIN(E27,F14)</f>
        <v>329.387892666187</v>
      </c>
    </row>
    <row r="16" ht="20.05" customHeight="1">
      <c r="B16" t="s" s="10">
        <v>15</v>
      </c>
      <c r="C16" s="19">
        <f>'Balance shhet'!B21</f>
        <v>2729</v>
      </c>
      <c r="D16" s="14">
        <f>C18</f>
        <v>2729</v>
      </c>
      <c r="E16" s="14">
        <f>D18</f>
        <v>2729</v>
      </c>
      <c r="F16" s="14">
        <f>E18</f>
        <v>2729</v>
      </c>
    </row>
    <row r="17" ht="20.05" customHeight="1">
      <c r="B17" t="s" s="10">
        <v>16</v>
      </c>
      <c r="C17" s="13">
        <f>C9+C10+C11</f>
        <v>0</v>
      </c>
      <c r="D17" s="14">
        <f>D9+D10+D11</f>
        <v>0</v>
      </c>
      <c r="E17" s="14">
        <f>E9+E10+E11</f>
        <v>0</v>
      </c>
      <c r="F17" s="14">
        <f>F9+F10+F11</f>
        <v>0</v>
      </c>
    </row>
    <row r="18" ht="20.05" customHeight="1">
      <c r="B18" t="s" s="10">
        <v>17</v>
      </c>
      <c r="C18" s="13">
        <f>C16+C17</f>
        <v>2729</v>
      </c>
      <c r="D18" s="14">
        <f>D16+D17</f>
        <v>2729</v>
      </c>
      <c r="E18" s="14">
        <f>E16+E17</f>
        <v>2729</v>
      </c>
      <c r="F18" s="14">
        <f>F16+F17</f>
        <v>2729</v>
      </c>
    </row>
    <row r="19" ht="20.05" customHeight="1">
      <c r="B19" t="s" s="20">
        <v>18</v>
      </c>
      <c r="C19" s="19"/>
      <c r="D19" s="21"/>
      <c r="E19" s="14"/>
      <c r="F19" s="22"/>
    </row>
    <row r="20" ht="20.05" customHeight="1">
      <c r="B20" t="s" s="10">
        <v>19</v>
      </c>
      <c r="C20" s="13">
        <f>-('Cashflow'!D22)</f>
        <v>-145.4</v>
      </c>
      <c r="D20" s="14">
        <f>C20</f>
        <v>-145.4</v>
      </c>
      <c r="E20" s="14">
        <f>D20</f>
        <v>-145.4</v>
      </c>
      <c r="F20" s="14">
        <f>E20</f>
        <v>-145.4</v>
      </c>
    </row>
    <row r="21" ht="20.05" customHeight="1">
      <c r="B21" t="s" s="10">
        <v>18</v>
      </c>
      <c r="C21" s="17">
        <f>C6+C8+C20</f>
        <v>171.411253469190</v>
      </c>
      <c r="D21" s="18">
        <f>D6+D8+D20</f>
        <v>165.0750283998</v>
      </c>
      <c r="E21" s="18">
        <f>E6+E8+E20</f>
        <v>177.4940295358</v>
      </c>
      <c r="F21" s="18">
        <f>F6+F8+F20</f>
        <v>193.638731012590</v>
      </c>
    </row>
    <row r="22" ht="20.05" customHeight="1">
      <c r="B22" t="s" s="20">
        <v>20</v>
      </c>
      <c r="C22" s="19"/>
      <c r="D22" s="21"/>
      <c r="E22" s="14"/>
      <c r="F22" s="18"/>
    </row>
    <row r="23" ht="20.05" customHeight="1">
      <c r="B23" t="s" s="10">
        <v>21</v>
      </c>
      <c r="C23" s="13">
        <f>'Balance shhet'!D21+'Balance shhet'!E21-C10</f>
        <v>16599.975</v>
      </c>
      <c r="D23" s="14">
        <f>C23-D10</f>
        <v>16666.85</v>
      </c>
      <c r="E23" s="14">
        <f>D23-E10</f>
        <v>16733.725</v>
      </c>
      <c r="F23" s="14">
        <f>E23-F10</f>
        <v>16800.6</v>
      </c>
    </row>
    <row r="24" ht="20.05" customHeight="1">
      <c r="B24" t="s" s="10">
        <v>22</v>
      </c>
      <c r="C24" s="13">
        <f>'Balance shhet'!E21-C20</f>
        <v>3658.8</v>
      </c>
      <c r="D24" s="14">
        <f>C24-D20</f>
        <v>3804.2</v>
      </c>
      <c r="E24" s="14">
        <f>D24-E20</f>
        <v>3949.6</v>
      </c>
      <c r="F24" s="14">
        <f>E24-F20</f>
        <v>4095</v>
      </c>
    </row>
    <row r="25" ht="20.05" customHeight="1">
      <c r="B25" t="s" s="10">
        <v>23</v>
      </c>
      <c r="C25" s="13">
        <f>C23-C24</f>
        <v>12941.175</v>
      </c>
      <c r="D25" s="14">
        <f>D23-D24</f>
        <v>12862.65</v>
      </c>
      <c r="E25" s="14">
        <f>E23-E24</f>
        <v>12784.125</v>
      </c>
      <c r="F25" s="14">
        <f>F23-F24</f>
        <v>12705.6</v>
      </c>
    </row>
    <row r="26" ht="20.05" customHeight="1">
      <c r="B26" t="s" s="10">
        <v>11</v>
      </c>
      <c r="C26" s="13">
        <f>'Balance shhet'!F21+C12</f>
        <v>12043.435</v>
      </c>
      <c r="D26" s="14">
        <f>C26+D12</f>
        <v>11441.26325</v>
      </c>
      <c r="E26" s="14">
        <f>D26+E12</f>
        <v>10869.2000875</v>
      </c>
      <c r="F26" s="14">
        <f>E26+F12</f>
        <v>10325.740083125</v>
      </c>
    </row>
    <row r="27" ht="20.05" customHeight="1">
      <c r="B27" t="s" s="10">
        <v>24</v>
      </c>
      <c r="C27" s="17">
        <f>C15</f>
        <v>435.352122571567</v>
      </c>
      <c r="D27" s="18">
        <f>C27+D15</f>
        <v>843.446352691707</v>
      </c>
      <c r="E27" s="18">
        <f>D27+E15</f>
        <v>1212.738694516650</v>
      </c>
      <c r="F27" s="18">
        <f>E27+F15</f>
        <v>1542.126587182840</v>
      </c>
    </row>
    <row r="28" ht="20.05" customHeight="1">
      <c r="B28" t="s" s="10">
        <v>12</v>
      </c>
      <c r="C28" s="13">
        <f>'Balance shhet'!G21+C13+C21</f>
        <v>3191.387877428430</v>
      </c>
      <c r="D28" s="14">
        <f>C28+D21+D13</f>
        <v>3306.940397308290</v>
      </c>
      <c r="E28" s="14">
        <f>D28+E21+E13</f>
        <v>3431.186217983350</v>
      </c>
      <c r="F28" s="14">
        <f>E28+F21+F13</f>
        <v>3566.733329692160</v>
      </c>
    </row>
    <row r="29" ht="20.05" customHeight="1">
      <c r="B29" t="s" s="10">
        <v>25</v>
      </c>
      <c r="C29" s="13">
        <f>C26+C27+C28-C18-C25</f>
        <v>-3e-12</v>
      </c>
      <c r="D29" s="14">
        <f>D26+D27+D28-D18-D25</f>
        <v>-3e-12</v>
      </c>
      <c r="E29" s="14">
        <f>E26+E27+E28-E18-E25</f>
        <v>0</v>
      </c>
      <c r="F29" s="14">
        <f>F26+F27+F28-F18-F25</f>
        <v>0</v>
      </c>
    </row>
    <row r="30" ht="20.05" customHeight="1">
      <c r="B30" t="s" s="10">
        <v>26</v>
      </c>
      <c r="C30" s="13">
        <f>C18-C26-C27</f>
        <v>-9749.787122571570</v>
      </c>
      <c r="D30" s="14">
        <f>D18-D26-D27</f>
        <v>-9555.709602691710</v>
      </c>
      <c r="E30" s="14">
        <f>E18-E26-E27</f>
        <v>-9352.938782016650</v>
      </c>
      <c r="F30" s="14">
        <f>F18-F26-F27</f>
        <v>-9138.866670307840</v>
      </c>
    </row>
    <row r="31" ht="20.05" customHeight="1">
      <c r="B31" t="s" s="20">
        <v>27</v>
      </c>
      <c r="C31" s="13"/>
      <c r="D31" s="14"/>
      <c r="E31" s="14"/>
      <c r="F31" s="14"/>
    </row>
    <row r="32" ht="20.05" customHeight="1">
      <c r="B32" t="s" s="10">
        <v>28</v>
      </c>
      <c r="C32" s="13">
        <f>'Cashflow'!M22-C11</f>
        <v>-2332.263746530810</v>
      </c>
      <c r="D32" s="14">
        <f>C32-D11</f>
        <v>-2088.663718131010</v>
      </c>
      <c r="E32" s="14">
        <f>D32-E11</f>
        <v>-1832.644688595210</v>
      </c>
      <c r="F32" s="14">
        <f>E32-F11</f>
        <v>-1560.480957582620</v>
      </c>
    </row>
    <row r="33" ht="20.05" customHeight="1">
      <c r="B33" t="s" s="10">
        <v>29</v>
      </c>
      <c r="C33" s="13"/>
      <c r="D33" s="14"/>
      <c r="E33" s="14"/>
      <c r="F33" s="14">
        <v>8174</v>
      </c>
    </row>
    <row r="34" ht="20.05" customHeight="1">
      <c r="B34" t="s" s="10">
        <v>30</v>
      </c>
      <c r="C34" s="13"/>
      <c r="D34" s="14"/>
      <c r="E34" s="14"/>
      <c r="F34" s="23">
        <f>F33/(F18+F25)</f>
        <v>0.529589364155858</v>
      </c>
    </row>
    <row r="35" ht="20.05" customHeight="1">
      <c r="B35" t="s" s="10">
        <v>31</v>
      </c>
      <c r="C35" s="13"/>
      <c r="D35" s="14"/>
      <c r="E35" s="14"/>
      <c r="F35" s="16">
        <f>-(C13+D13+E13+F13)/F33</f>
        <v>0.02597084814353</v>
      </c>
    </row>
    <row r="36" ht="20.05" customHeight="1">
      <c r="B36" t="s" s="10">
        <v>32</v>
      </c>
      <c r="C36" s="13"/>
      <c r="D36" s="14"/>
      <c r="E36" s="14"/>
      <c r="F36" s="14">
        <f>SUM(C9:F10)</f>
        <v>1021.719042417380</v>
      </c>
    </row>
    <row r="37" ht="20.05" customHeight="1">
      <c r="B37" t="s" s="10">
        <v>33</v>
      </c>
      <c r="C37" s="13"/>
      <c r="D37" s="14"/>
      <c r="E37" s="14"/>
      <c r="F37" s="14">
        <f>'Balance shhet'!D21/F36</f>
        <v>12.7429356403062</v>
      </c>
    </row>
    <row r="38" ht="20.05" customHeight="1">
      <c r="B38" t="s" s="10">
        <v>27</v>
      </c>
      <c r="C38" s="13"/>
      <c r="D38" s="14"/>
      <c r="E38" s="14"/>
      <c r="F38" s="14">
        <f>F33/F36</f>
        <v>8.000242396050851</v>
      </c>
    </row>
    <row r="39" ht="20.05" customHeight="1">
      <c r="B39" t="s" s="10">
        <v>34</v>
      </c>
      <c r="C39" s="13"/>
      <c r="D39" s="14"/>
      <c r="E39" s="14"/>
      <c r="F39" s="14">
        <v>12</v>
      </c>
    </row>
    <row r="40" ht="20.05" customHeight="1">
      <c r="B40" t="s" s="10">
        <v>35</v>
      </c>
      <c r="C40" s="13"/>
      <c r="D40" s="14"/>
      <c r="E40" s="14"/>
      <c r="F40" s="14">
        <f>F36*F39</f>
        <v>12260.6285090086</v>
      </c>
    </row>
    <row r="41" ht="20.05" customHeight="1">
      <c r="B41" t="s" s="10">
        <v>36</v>
      </c>
      <c r="C41" s="13"/>
      <c r="D41" s="14"/>
      <c r="E41" s="14"/>
      <c r="F41" s="14">
        <f>F33/F43</f>
        <v>169.514724180838</v>
      </c>
    </row>
    <row r="42" ht="20.05" customHeight="1">
      <c r="B42" t="s" s="10">
        <v>37</v>
      </c>
      <c r="C42" s="13"/>
      <c r="D42" s="14"/>
      <c r="E42" s="14"/>
      <c r="F42" s="14">
        <f>F40/F41</f>
        <v>72.3278085031067</v>
      </c>
    </row>
    <row r="43" ht="20.05" customHeight="1">
      <c r="B43" t="s" s="10">
        <v>38</v>
      </c>
      <c r="C43" s="13"/>
      <c r="D43" s="14"/>
      <c r="E43" s="14"/>
      <c r="F43" s="14">
        <f>'Share price '!B18</f>
        <v>48.22</v>
      </c>
    </row>
    <row r="44" ht="20.05" customHeight="1">
      <c r="B44" t="s" s="10">
        <v>39</v>
      </c>
      <c r="C44" s="13"/>
      <c r="D44" s="14"/>
      <c r="E44" s="14"/>
      <c r="F44" s="16">
        <f>F42/F43-1</f>
        <v>0.499954552117518</v>
      </c>
    </row>
    <row r="45" ht="20.05" customHeight="1">
      <c r="B45" t="s" s="10">
        <v>40</v>
      </c>
      <c r="C45" s="13"/>
      <c r="D45" s="14"/>
      <c r="E45" s="14"/>
      <c r="F45" s="16">
        <f>'Sales'!B21/'Sales'!B17-1</f>
        <v>0.338053097345133</v>
      </c>
    </row>
    <row r="46" ht="20.05" customHeight="1">
      <c r="B46" t="s" s="10">
        <v>41</v>
      </c>
      <c r="C46" s="13"/>
      <c r="D46" s="14"/>
      <c r="E46" s="14"/>
      <c r="F46" s="16">
        <f>('Sales'!C17+'Sales'!C21+'Sales'!C18+'Sales'!C19+'Sales'!C20)/('Sales'!B17+'Sales'!B18+'Sales'!B19+'Sales'!B21+'Sales'!B20)-1</f>
        <v>-0.087066718027735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9.80469" style="24" customWidth="1"/>
    <col min="2" max="6" width="9.88281" style="24" customWidth="1"/>
    <col min="7" max="16384" width="16.3516" style="24" customWidth="1"/>
  </cols>
  <sheetData>
    <row r="1" ht="27.65" customHeight="1">
      <c r="A1" t="s" s="2">
        <v>5</v>
      </c>
      <c r="B1" s="2"/>
      <c r="C1" s="2"/>
      <c r="D1" s="2"/>
      <c r="E1" s="2"/>
      <c r="F1" s="2"/>
    </row>
    <row r="2" ht="32.25" customHeight="1">
      <c r="A2" t="s" s="25">
        <v>1</v>
      </c>
      <c r="B2" t="s" s="25">
        <v>5</v>
      </c>
      <c r="C2" t="s" s="25">
        <v>34</v>
      </c>
      <c r="D2" t="s" s="25">
        <v>42</v>
      </c>
      <c r="E2" t="s" s="25">
        <v>43</v>
      </c>
      <c r="F2" t="s" s="25">
        <v>44</v>
      </c>
    </row>
    <row r="3" ht="20.25" customHeight="1">
      <c r="A3" s="26">
        <v>2017</v>
      </c>
      <c r="B3" s="27">
        <v>818</v>
      </c>
      <c r="C3" s="28"/>
      <c r="D3" s="9"/>
      <c r="E3" s="29">
        <f>('Cashflow'!C4+'Cashflow'!D4-B3)/B3</f>
        <v>-0.837408312958435</v>
      </c>
      <c r="F3" s="29"/>
    </row>
    <row r="4" ht="20.05" customHeight="1">
      <c r="A4" s="30"/>
      <c r="B4" s="13">
        <v>842</v>
      </c>
      <c r="C4" s="31"/>
      <c r="D4" s="12">
        <f>B4/B3-1</f>
        <v>0.0293398533007335</v>
      </c>
      <c r="E4" s="16">
        <f>('Cashflow'!C5+'Cashflow'!D5-B4)/B4</f>
        <v>-0.859857482185273</v>
      </c>
      <c r="F4" s="16"/>
    </row>
    <row r="5" ht="20.05" customHeight="1">
      <c r="A5" s="30"/>
      <c r="B5" s="13">
        <v>790</v>
      </c>
      <c r="C5" s="31"/>
      <c r="D5" s="12">
        <f>B5/B4-1</f>
        <v>-0.0617577197149644</v>
      </c>
      <c r="E5" s="16">
        <f>('Cashflow'!C6+'Cashflow'!D6-B5)/B5</f>
        <v>-1.82658227848101</v>
      </c>
      <c r="F5" s="16"/>
    </row>
    <row r="6" ht="20.05" customHeight="1">
      <c r="A6" s="30"/>
      <c r="B6" s="13">
        <v>698</v>
      </c>
      <c r="C6" s="31"/>
      <c r="D6" s="12">
        <f>B6/B5-1</f>
        <v>-0.116455696202532</v>
      </c>
      <c r="E6" s="16">
        <f>('Cashflow'!C7+'Cashflow'!D7-B6)/B6</f>
        <v>-0.424068767908309</v>
      </c>
      <c r="F6" s="16"/>
    </row>
    <row r="7" ht="20.05" customHeight="1">
      <c r="A7" s="32">
        <v>2018</v>
      </c>
      <c r="B7" s="13">
        <v>816</v>
      </c>
      <c r="C7" s="31"/>
      <c r="D7" s="12">
        <f>B7/B6-1</f>
        <v>0.169054441260745</v>
      </c>
      <c r="E7" s="16">
        <f>('Cashflow'!C8+'Cashflow'!D8-B7)/B7</f>
        <v>-0.834558823529412</v>
      </c>
      <c r="F7" s="16">
        <f>AVERAGE(E4:E7)</f>
        <v>-0.986266838026001</v>
      </c>
    </row>
    <row r="8" ht="20.05" customHeight="1">
      <c r="A8" s="30"/>
      <c r="B8" s="13">
        <v>827</v>
      </c>
      <c r="C8" s="31"/>
      <c r="D8" s="12">
        <f>B8/B7-1</f>
        <v>0.0134803921568627</v>
      </c>
      <c r="E8" s="16">
        <f>('Cashflow'!C9+'Cashflow'!D9-B8)/B8</f>
        <v>-0.882708585247884</v>
      </c>
      <c r="F8" s="16">
        <f>AVERAGE(E5:E8)</f>
        <v>-0.991979613791654</v>
      </c>
    </row>
    <row r="9" ht="20.05" customHeight="1">
      <c r="A9" s="30"/>
      <c r="B9" s="13">
        <v>790</v>
      </c>
      <c r="C9" s="31"/>
      <c r="D9" s="12">
        <f>B9/B8-1</f>
        <v>-0.0447400241837969</v>
      </c>
      <c r="E9" s="16">
        <f>('Cashflow'!C10+'Cashflow'!D10-B9)/B9</f>
        <v>-0.843037974683544</v>
      </c>
      <c r="F9" s="16">
        <f>AVERAGE(E6:E9)</f>
        <v>-0.746093537842287</v>
      </c>
    </row>
    <row r="10" ht="20.05" customHeight="1">
      <c r="A10" s="30"/>
      <c r="B10" s="13">
        <v>1155</v>
      </c>
      <c r="C10" s="31"/>
      <c r="D10" s="12">
        <f>B10/B9-1</f>
        <v>0.462025316455696</v>
      </c>
      <c r="E10" s="16">
        <f>('Cashflow'!C11+'Cashflow'!D11-B10)/B10</f>
        <v>-0.922943722943723</v>
      </c>
      <c r="F10" s="16">
        <f>AVERAGE(E7:E10)</f>
        <v>-0.870812276601141</v>
      </c>
    </row>
    <row r="11" ht="20.05" customHeight="1">
      <c r="A11" s="32">
        <v>2019</v>
      </c>
      <c r="B11" s="13">
        <v>1283</v>
      </c>
      <c r="C11" s="31"/>
      <c r="D11" s="12">
        <f>B11/B10-1</f>
        <v>0.110822510822511</v>
      </c>
      <c r="E11" s="16">
        <f>('Cashflow'!C12+'Cashflow'!D12-B11)/B11</f>
        <v>-0.8043647700701479</v>
      </c>
      <c r="F11" s="16">
        <f>AVERAGE(E8:E11)</f>
        <v>-0.863263763236325</v>
      </c>
    </row>
    <row r="12" ht="20.05" customHeight="1">
      <c r="A12" s="30"/>
      <c r="B12" s="13">
        <v>1323</v>
      </c>
      <c r="C12" s="31"/>
      <c r="D12" s="12">
        <f>B12/B11-1</f>
        <v>0.0311769290724864</v>
      </c>
      <c r="E12" s="16">
        <f>('Cashflow'!C13+'Cashflow'!D13-B12)/B12</f>
        <v>-0.816780045351474</v>
      </c>
      <c r="F12" s="16">
        <f>AVERAGE(E9:E12)</f>
        <v>-0.846781628262222</v>
      </c>
    </row>
    <row r="13" ht="20.05" customHeight="1">
      <c r="A13" s="30"/>
      <c r="B13" s="13">
        <v>1355</v>
      </c>
      <c r="C13" s="31"/>
      <c r="D13" s="12">
        <f>B13/B12-1</f>
        <v>0.0241874527588813</v>
      </c>
      <c r="E13" s="16">
        <f>('Cashflow'!C14+'Cashflow'!D14-B13)/B13</f>
        <v>-0.650479704797048</v>
      </c>
      <c r="F13" s="16">
        <f>AVERAGE(E10:E13)</f>
        <v>-0.798642060790598</v>
      </c>
    </row>
    <row r="14" ht="20.05" customHeight="1">
      <c r="A14" s="30"/>
      <c r="B14" s="13">
        <v>1341</v>
      </c>
      <c r="C14" s="31"/>
      <c r="D14" s="12">
        <f>B14/B13-1</f>
        <v>-0.0103321033210332</v>
      </c>
      <c r="E14" s="16">
        <f>('Cashflow'!C15+'Cashflow'!D15-B14)/B14</f>
        <v>-0.729306487695749</v>
      </c>
      <c r="F14" s="16">
        <f>AVERAGE(E11:E14)</f>
        <v>-0.750232751978605</v>
      </c>
    </row>
    <row r="15" ht="20.05" customHeight="1">
      <c r="A15" s="32">
        <v>2020</v>
      </c>
      <c r="B15" s="13">
        <v>1117</v>
      </c>
      <c r="C15" s="31"/>
      <c r="D15" s="12">
        <f>B15/B14-1</f>
        <v>-0.167039522744221</v>
      </c>
      <c r="E15" s="16">
        <f>('Cashflow'!C16+'Cashflow'!D16-B15)/B15</f>
        <v>-0.376007162041182</v>
      </c>
      <c r="F15" s="16">
        <f>AVERAGE(E12:E15)</f>
        <v>-0.643143349971363</v>
      </c>
    </row>
    <row r="16" ht="20.05" customHeight="1">
      <c r="A16" s="30"/>
      <c r="B16" s="13">
        <v>305</v>
      </c>
      <c r="C16" s="14"/>
      <c r="D16" s="12">
        <f>B16/B15-1</f>
        <v>-0.726947179946285</v>
      </c>
      <c r="E16" s="16">
        <f>('Cashflow'!C17+'Cashflow'!D17-B16)/B16</f>
        <v>-1.1016393442623</v>
      </c>
      <c r="F16" s="16">
        <f>AVERAGE(E13:E16)</f>
        <v>-0.71435817469907</v>
      </c>
    </row>
    <row r="17" ht="20.05" customHeight="1">
      <c r="A17" s="30"/>
      <c r="B17" s="13">
        <v>1130</v>
      </c>
      <c r="C17" s="14">
        <v>457.5</v>
      </c>
      <c r="D17" s="12">
        <f>B17/B16-1</f>
        <v>2.70491803278689</v>
      </c>
      <c r="E17" s="16">
        <f>('Cashflow'!C18+'Cashflow'!D18-B17)/B17</f>
        <v>-0.665486725663717</v>
      </c>
      <c r="F17" s="16">
        <f>AVERAGE(E14:E17)</f>
        <v>-0.718109929915737</v>
      </c>
    </row>
    <row r="18" ht="20.05" customHeight="1">
      <c r="A18" s="30"/>
      <c r="B18" s="13">
        <v>1027</v>
      </c>
      <c r="C18" s="14">
        <v>1209.1</v>
      </c>
      <c r="D18" s="12">
        <f>B18/B17-1</f>
        <v>-0.0911504424778761</v>
      </c>
      <c r="E18" s="16">
        <f>('Cashflow'!C19+'Cashflow'!D19-B18)/B18</f>
        <v>-0.741772151898734</v>
      </c>
      <c r="F18" s="16">
        <f>AVERAGE(E15:E18)</f>
        <v>-0.7212263459664831</v>
      </c>
    </row>
    <row r="19" ht="20.05" customHeight="1">
      <c r="A19" s="32">
        <v>2021</v>
      </c>
      <c r="B19" s="13">
        <v>1275</v>
      </c>
      <c r="C19" s="14">
        <v>1293.737</v>
      </c>
      <c r="D19" s="12">
        <f>B19/B18-1</f>
        <v>0.241480038948393</v>
      </c>
      <c r="E19" s="16">
        <f>('Cashflow'!C20+'Cashflow'!D20-B19)/B19</f>
        <v>-0.842352941176471</v>
      </c>
      <c r="F19" s="16">
        <f>AVERAGE(E16:E19)</f>
        <v>-0.837812790750306</v>
      </c>
    </row>
    <row r="20" ht="20.05" customHeight="1">
      <c r="A20" s="30"/>
      <c r="B20" s="13">
        <v>1546</v>
      </c>
      <c r="C20" s="14">
        <v>1377</v>
      </c>
      <c r="D20" s="12">
        <f>B20/B19-1</f>
        <v>0.212549019607843</v>
      </c>
      <c r="E20" s="16">
        <f>('Cashflow'!C21+'Cashflow'!D21-B20)/B20</f>
        <v>-0.770504527813713</v>
      </c>
      <c r="F20" s="16">
        <f>AVERAGE(E17:E20)</f>
        <v>-0.755029086638159</v>
      </c>
    </row>
    <row r="21" ht="20.05" customHeight="1">
      <c r="A21" s="30"/>
      <c r="B21" s="13">
        <v>1512</v>
      </c>
      <c r="C21" s="14">
        <f>'Model'!C6</f>
        <v>1587.6</v>
      </c>
      <c r="D21" s="12">
        <f>B21/B20-1</f>
        <v>-0.0219922380336352</v>
      </c>
      <c r="E21" s="16">
        <f>('Cashflow'!C22+'Cashflow'!D22-B21)/B21</f>
        <v>-0.8471560846560851</v>
      </c>
      <c r="F21" s="16">
        <f>AVERAGE(E18:E21)</f>
        <v>-0.800446426386251</v>
      </c>
    </row>
    <row r="22" ht="20.05" customHeight="1">
      <c r="A22" s="30"/>
      <c r="B22" s="13"/>
      <c r="C22" s="14">
        <f>'Model'!C6</f>
        <v>1587.6</v>
      </c>
      <c r="D22" s="12"/>
      <c r="E22" s="12"/>
      <c r="F22" s="16">
        <f>'Model'!C7</f>
        <v>-0.800446426386251</v>
      </c>
    </row>
    <row r="23" ht="20.05" customHeight="1">
      <c r="A23" s="32">
        <v>2022</v>
      </c>
      <c r="B23" s="13"/>
      <c r="C23" s="14">
        <f>'Model'!D6</f>
        <v>1555.848</v>
      </c>
      <c r="D23" s="12"/>
      <c r="E23" s="12"/>
      <c r="F23" s="12"/>
    </row>
    <row r="24" ht="20.05" customHeight="1">
      <c r="A24" s="30"/>
      <c r="B24" s="13"/>
      <c r="C24" s="14">
        <f>'Model'!E6</f>
        <v>1618.08192</v>
      </c>
      <c r="D24" s="33"/>
      <c r="E24" s="22"/>
      <c r="F24" s="22"/>
    </row>
    <row r="25" ht="20.05" customHeight="1">
      <c r="A25" s="30"/>
      <c r="B25" s="13"/>
      <c r="C25" s="14">
        <f>'Model'!F6</f>
        <v>1698.986016</v>
      </c>
      <c r="D25" s="33"/>
      <c r="E25" s="22"/>
      <c r="F25" s="22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M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21875" style="34" customWidth="1"/>
    <col min="2" max="2" width="8.86719" style="34" customWidth="1"/>
    <col min="3" max="13" width="9.94531" style="34" customWidth="1"/>
    <col min="14" max="16384" width="16.3516" style="34" customWidth="1"/>
  </cols>
  <sheetData>
    <row r="1" ht="41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25">
        <v>1</v>
      </c>
      <c r="C3" t="s" s="25">
        <v>45</v>
      </c>
      <c r="D3" t="s" s="25">
        <v>19</v>
      </c>
      <c r="E3" t="s" s="25">
        <v>46</v>
      </c>
      <c r="F3" t="s" s="25">
        <v>8</v>
      </c>
      <c r="G3" t="s" s="25">
        <v>47</v>
      </c>
      <c r="H3" t="s" s="25">
        <v>11</v>
      </c>
      <c r="I3" t="s" s="25">
        <v>48</v>
      </c>
      <c r="J3" t="s" s="25">
        <v>49</v>
      </c>
      <c r="K3" t="s" s="25">
        <v>50</v>
      </c>
      <c r="L3" t="s" s="25">
        <v>32</v>
      </c>
      <c r="M3" t="s" s="25">
        <v>51</v>
      </c>
    </row>
    <row r="4" ht="20.25" customHeight="1">
      <c r="B4" s="26">
        <v>2017</v>
      </c>
      <c r="C4" s="27">
        <v>5</v>
      </c>
      <c r="D4" s="35">
        <v>128</v>
      </c>
      <c r="E4" s="35">
        <f>F4-D4-C4</f>
        <v>-48.2</v>
      </c>
      <c r="F4" s="35">
        <v>84.8</v>
      </c>
      <c r="G4" s="35">
        <v>-23</v>
      </c>
      <c r="H4" s="35"/>
      <c r="I4" s="35"/>
      <c r="J4" s="35">
        <v>-32</v>
      </c>
      <c r="K4" s="35">
        <f>F4+G4</f>
        <v>61.8</v>
      </c>
      <c r="L4" s="35"/>
      <c r="M4" s="35">
        <f>-J4</f>
        <v>32</v>
      </c>
    </row>
    <row r="5" ht="20.05" customHeight="1">
      <c r="B5" s="30"/>
      <c r="C5" s="13">
        <v>17</v>
      </c>
      <c r="D5" s="14">
        <v>101</v>
      </c>
      <c r="E5" s="14">
        <f>F5-D5-C5</f>
        <v>11.2</v>
      </c>
      <c r="F5" s="14">
        <v>129.2</v>
      </c>
      <c r="G5" s="14">
        <v>-143</v>
      </c>
      <c r="H5" s="14"/>
      <c r="I5" s="14"/>
      <c r="J5" s="14">
        <v>-21</v>
      </c>
      <c r="K5" s="14">
        <f>F5+G5</f>
        <v>-13.8</v>
      </c>
      <c r="L5" s="14"/>
      <c r="M5" s="14">
        <f>-J5+M4</f>
        <v>53</v>
      </c>
    </row>
    <row r="6" ht="20.05" customHeight="1">
      <c r="B6" s="30"/>
      <c r="C6" s="13">
        <v>790</v>
      </c>
      <c r="D6" s="14">
        <v>-1443</v>
      </c>
      <c r="E6" s="14">
        <f>F6-D6-C6</f>
        <v>794</v>
      </c>
      <c r="F6" s="14">
        <v>141</v>
      </c>
      <c r="G6" s="14">
        <v>-26</v>
      </c>
      <c r="H6" s="14"/>
      <c r="I6" s="14"/>
      <c r="J6" s="14">
        <v>-74</v>
      </c>
      <c r="K6" s="14">
        <f>F6+G6</f>
        <v>115</v>
      </c>
      <c r="L6" s="14"/>
      <c r="M6" s="14">
        <f>-J6+M5</f>
        <v>127</v>
      </c>
    </row>
    <row r="7" ht="20.05" customHeight="1">
      <c r="B7" s="30"/>
      <c r="C7" s="13">
        <v>-339</v>
      </c>
      <c r="D7" s="14">
        <v>741</v>
      </c>
      <c r="E7" s="14">
        <f>F7-D7-C7</f>
        <v>-279</v>
      </c>
      <c r="F7" s="14">
        <v>123</v>
      </c>
      <c r="G7" s="14">
        <v>-30</v>
      </c>
      <c r="H7" s="14"/>
      <c r="I7" s="14"/>
      <c r="J7" s="14">
        <v>-80</v>
      </c>
      <c r="K7" s="14">
        <f>F7+G7</f>
        <v>93</v>
      </c>
      <c r="L7" s="14"/>
      <c r="M7" s="14">
        <f>-J7+M6</f>
        <v>207</v>
      </c>
    </row>
    <row r="8" ht="20.05" customHeight="1">
      <c r="B8" s="32">
        <v>2018</v>
      </c>
      <c r="C8" s="13">
        <v>45</v>
      </c>
      <c r="D8" s="14">
        <v>90</v>
      </c>
      <c r="E8" s="14">
        <f>F8-D8-C8</f>
        <v>-68</v>
      </c>
      <c r="F8" s="14">
        <v>67</v>
      </c>
      <c r="G8" s="14">
        <v>-62</v>
      </c>
      <c r="H8" s="14"/>
      <c r="I8" s="14"/>
      <c r="J8" s="14">
        <v>-64</v>
      </c>
      <c r="K8" s="14">
        <f>F8+G8</f>
        <v>5</v>
      </c>
      <c r="L8" s="14">
        <f>AVERAGE(K5:K8)</f>
        <v>49.8</v>
      </c>
      <c r="M8" s="14">
        <f>-J8+M7</f>
        <v>271</v>
      </c>
    </row>
    <row r="9" ht="20.05" customHeight="1">
      <c r="B9" s="30"/>
      <c r="C9" s="13">
        <v>54</v>
      </c>
      <c r="D9" s="14">
        <v>43</v>
      </c>
      <c r="E9" s="14">
        <f>F9-D9-C9</f>
        <v>43</v>
      </c>
      <c r="F9" s="14">
        <v>140</v>
      </c>
      <c r="G9" s="14">
        <v>-17</v>
      </c>
      <c r="H9" s="14"/>
      <c r="I9" s="14"/>
      <c r="J9" s="14">
        <v>-142</v>
      </c>
      <c r="K9" s="14">
        <f>F9+G9</f>
        <v>123</v>
      </c>
      <c r="L9" s="14">
        <f>AVERAGE(K6:K9)</f>
        <v>84</v>
      </c>
      <c r="M9" s="14">
        <f>-J9+M8</f>
        <v>413</v>
      </c>
    </row>
    <row r="10" ht="20.05" customHeight="1">
      <c r="B10" s="30"/>
      <c r="C10" s="13">
        <v>37</v>
      </c>
      <c r="D10" s="14">
        <v>87</v>
      </c>
      <c r="E10" s="14">
        <f>F10-D10-C10</f>
        <v>-31</v>
      </c>
      <c r="F10" s="14">
        <v>93</v>
      </c>
      <c r="G10" s="14">
        <v>-5</v>
      </c>
      <c r="H10" s="14"/>
      <c r="I10" s="14"/>
      <c r="J10" s="14">
        <v>-44</v>
      </c>
      <c r="K10" s="14">
        <f>F10+G10</f>
        <v>88</v>
      </c>
      <c r="L10" s="14">
        <f>AVERAGE(K7:K10)</f>
        <v>77.25</v>
      </c>
      <c r="M10" s="14">
        <f>-J10+M9</f>
        <v>457</v>
      </c>
    </row>
    <row r="11" ht="20.05" customHeight="1">
      <c r="B11" s="30"/>
      <c r="C11" s="13">
        <v>-42</v>
      </c>
      <c r="D11" s="14">
        <v>131</v>
      </c>
      <c r="E11" s="14">
        <f>F11-D11-C11</f>
        <v>-36</v>
      </c>
      <c r="F11" s="14">
        <v>53</v>
      </c>
      <c r="G11" s="14">
        <v>-1339</v>
      </c>
      <c r="H11" s="14"/>
      <c r="I11" s="14"/>
      <c r="J11" s="14">
        <v>1522</v>
      </c>
      <c r="K11" s="14">
        <f>F11+G11</f>
        <v>-1286</v>
      </c>
      <c r="L11" s="14">
        <f>AVERAGE(K8:K11)</f>
        <v>-267.5</v>
      </c>
      <c r="M11" s="14">
        <f>-J11+M10</f>
        <v>-1065</v>
      </c>
    </row>
    <row r="12" ht="20.05" customHeight="1">
      <c r="B12" s="32">
        <v>2019</v>
      </c>
      <c r="C12" s="13">
        <v>41</v>
      </c>
      <c r="D12" s="14">
        <v>210</v>
      </c>
      <c r="E12" s="14">
        <f>F12-D12-C12</f>
        <v>-125</v>
      </c>
      <c r="F12" s="14">
        <v>126</v>
      </c>
      <c r="G12" s="14">
        <v>-147</v>
      </c>
      <c r="H12" s="14"/>
      <c r="I12" s="14"/>
      <c r="J12" s="14">
        <v>-46</v>
      </c>
      <c r="K12" s="14">
        <f>F12+G12</f>
        <v>-21</v>
      </c>
      <c r="L12" s="14">
        <f>AVERAGE(K9:K12)</f>
        <v>-274</v>
      </c>
      <c r="M12" s="14">
        <f>-J12+M11</f>
        <v>-1019</v>
      </c>
    </row>
    <row r="13" ht="20.05" customHeight="1">
      <c r="B13" s="30"/>
      <c r="C13" s="13">
        <v>51.3</v>
      </c>
      <c r="D13" s="14">
        <v>191.1</v>
      </c>
      <c r="E13" s="14">
        <f>F13-D13-C13</f>
        <v>-53.4</v>
      </c>
      <c r="F13" s="14">
        <v>189</v>
      </c>
      <c r="G13" s="14">
        <v>-348</v>
      </c>
      <c r="H13" s="14"/>
      <c r="I13" s="14"/>
      <c r="J13" s="14">
        <v>132.9</v>
      </c>
      <c r="K13" s="14">
        <f>F13+G13</f>
        <v>-159</v>
      </c>
      <c r="L13" s="14">
        <f>AVERAGE(K10:K13)</f>
        <v>-344.5</v>
      </c>
      <c r="M13" s="14">
        <f>-J13+M12</f>
        <v>-1151.9</v>
      </c>
    </row>
    <row r="14" ht="20.05" customHeight="1">
      <c r="B14" s="30"/>
      <c r="C14" s="13">
        <v>84.7</v>
      </c>
      <c r="D14" s="14">
        <v>388.9</v>
      </c>
      <c r="E14" s="14">
        <f>F14-D14-C14</f>
        <v>-143.6</v>
      </c>
      <c r="F14" s="14">
        <v>330</v>
      </c>
      <c r="G14" s="14">
        <v>-194</v>
      </c>
      <c r="H14" s="14"/>
      <c r="I14" s="14"/>
      <c r="J14" s="14">
        <v>-172.9</v>
      </c>
      <c r="K14" s="14">
        <f>F14+G14</f>
        <v>136</v>
      </c>
      <c r="L14" s="14">
        <f>AVERAGE(K11:K14)</f>
        <v>-332.5</v>
      </c>
      <c r="M14" s="14">
        <f>-J14+M13</f>
        <v>-979</v>
      </c>
    </row>
    <row r="15" ht="20.05" customHeight="1">
      <c r="B15" s="30"/>
      <c r="C15" s="13">
        <v>-93</v>
      </c>
      <c r="D15" s="14">
        <v>456</v>
      </c>
      <c r="E15" s="14">
        <f>F15-D15-C15</f>
        <v>-178</v>
      </c>
      <c r="F15" s="14">
        <v>185</v>
      </c>
      <c r="G15" s="14">
        <v>-66</v>
      </c>
      <c r="H15" s="14"/>
      <c r="I15" s="14"/>
      <c r="J15" s="14">
        <v>-82</v>
      </c>
      <c r="K15" s="14">
        <f>F15+G15</f>
        <v>119</v>
      </c>
      <c r="L15" s="14">
        <f>AVERAGE(K12:K15)</f>
        <v>18.75</v>
      </c>
      <c r="M15" s="14">
        <f>-J15+M14</f>
        <v>-897</v>
      </c>
    </row>
    <row r="16" ht="20.05" customHeight="1">
      <c r="B16" s="32">
        <v>2020</v>
      </c>
      <c r="C16" s="13">
        <v>-609</v>
      </c>
      <c r="D16" s="14">
        <v>1306</v>
      </c>
      <c r="E16" s="14">
        <f>F16-D16-C16</f>
        <v>-730</v>
      </c>
      <c r="F16" s="14">
        <v>-33</v>
      </c>
      <c r="G16" s="14">
        <v>-183</v>
      </c>
      <c r="H16" s="14"/>
      <c r="I16" s="14"/>
      <c r="J16" s="14">
        <v>509</v>
      </c>
      <c r="K16" s="14">
        <f>F16+G16</f>
        <v>-216</v>
      </c>
      <c r="L16" s="14">
        <f>AVERAGE(K13:K16)</f>
        <v>-30</v>
      </c>
      <c r="M16" s="14">
        <f>-J16+M15</f>
        <v>-1406</v>
      </c>
    </row>
    <row r="17" ht="20.05" customHeight="1">
      <c r="B17" s="30"/>
      <c r="C17" s="13">
        <v>-214</v>
      </c>
      <c r="D17" s="14">
        <v>183</v>
      </c>
      <c r="E17" s="14">
        <f>F17-D17-C17</f>
        <v>-66.90000000000001</v>
      </c>
      <c r="F17" s="14">
        <v>-97.90000000000001</v>
      </c>
      <c r="G17" s="14">
        <v>-35.5</v>
      </c>
      <c r="H17" s="14"/>
      <c r="I17" s="14"/>
      <c r="J17" s="14">
        <v>646</v>
      </c>
      <c r="K17" s="14">
        <f>F17+G17</f>
        <v>-133.4</v>
      </c>
      <c r="L17" s="14">
        <f>AVERAGE(K14:K17)</f>
        <v>-23.6</v>
      </c>
      <c r="M17" s="14">
        <f>-J17+M16</f>
        <v>-2052</v>
      </c>
    </row>
    <row r="18" ht="20.05" customHeight="1">
      <c r="B18" s="30"/>
      <c r="C18" s="13">
        <v>141</v>
      </c>
      <c r="D18" s="14">
        <v>237</v>
      </c>
      <c r="E18" s="14">
        <f>F18-D18-C18</f>
        <v>-26.1</v>
      </c>
      <c r="F18" s="14">
        <v>351.9</v>
      </c>
      <c r="G18" s="14">
        <v>-17.5</v>
      </c>
      <c r="H18" s="14"/>
      <c r="I18" s="14"/>
      <c r="J18" s="14">
        <v>291</v>
      </c>
      <c r="K18" s="14">
        <f>F18+G18</f>
        <v>334.4</v>
      </c>
      <c r="L18" s="14">
        <f>AVERAGE(K15:K18)</f>
        <v>26</v>
      </c>
      <c r="M18" s="14">
        <f>-J18+M17</f>
        <v>-2343</v>
      </c>
    </row>
    <row r="19" ht="20.05" customHeight="1">
      <c r="B19" s="30"/>
      <c r="C19" s="13">
        <v>13</v>
      </c>
      <c r="D19" s="14">
        <v>252.2</v>
      </c>
      <c r="E19" s="14">
        <f>F19-D19-C19</f>
        <v>-147.2</v>
      </c>
      <c r="F19" s="14">
        <v>118</v>
      </c>
      <c r="G19" s="14">
        <v>2</v>
      </c>
      <c r="H19" s="14"/>
      <c r="I19" s="14"/>
      <c r="J19" s="14">
        <v>-136</v>
      </c>
      <c r="K19" s="14">
        <f>F19+G19</f>
        <v>120</v>
      </c>
      <c r="L19" s="14">
        <f>AVERAGE(K16:K19)</f>
        <v>26.25</v>
      </c>
      <c r="M19" s="14">
        <f>-J19+M18</f>
        <v>-2207</v>
      </c>
    </row>
    <row r="20" ht="20.05" customHeight="1">
      <c r="B20" s="32">
        <v>2021</v>
      </c>
      <c r="C20" s="13">
        <v>91</v>
      </c>
      <c r="D20" s="14">
        <f>87+36-26+5-10+5+13</f>
        <v>110</v>
      </c>
      <c r="E20" s="14">
        <f>F20-D20-C20</f>
        <v>-20</v>
      </c>
      <c r="F20" s="14">
        <v>181</v>
      </c>
      <c r="G20" s="14">
        <v>-27</v>
      </c>
      <c r="H20" s="14"/>
      <c r="I20" s="14"/>
      <c r="J20" s="14">
        <v>60</v>
      </c>
      <c r="K20" s="14">
        <f>F20+G20</f>
        <v>154</v>
      </c>
      <c r="L20" s="14">
        <f>AVERAGE(K17:K20)</f>
        <v>118.75</v>
      </c>
      <c r="M20" s="14">
        <f>-J20+M19</f>
        <v>-2267</v>
      </c>
    </row>
    <row r="21" ht="20.05" customHeight="1">
      <c r="B21" s="30"/>
      <c r="C21" s="13">
        <f>290-C20</f>
        <v>199</v>
      </c>
      <c r="D21" s="14">
        <f>265.8-D20</f>
        <v>155.8</v>
      </c>
      <c r="E21" s="14">
        <f>F21-D21-C21</f>
        <v>-31.2</v>
      </c>
      <c r="F21" s="14">
        <f>504.6-F20</f>
        <v>323.6</v>
      </c>
      <c r="G21" s="14">
        <f>-99.1-G20</f>
        <v>-72.09999999999999</v>
      </c>
      <c r="H21" s="14"/>
      <c r="I21" s="14"/>
      <c r="J21" s="14">
        <f>18.8-J20</f>
        <v>-41.2</v>
      </c>
      <c r="K21" s="14">
        <f>F21+G21</f>
        <v>251.5</v>
      </c>
      <c r="L21" s="14">
        <f>AVERAGE(K18:K21)</f>
        <v>214.975</v>
      </c>
      <c r="M21" s="14">
        <f>-J21+M20</f>
        <v>-2225.8</v>
      </c>
    </row>
    <row r="22" ht="20.05" customHeight="1">
      <c r="B22" s="30"/>
      <c r="C22" s="13">
        <f>375.7-C21-C20</f>
        <v>85.7</v>
      </c>
      <c r="D22" s="14">
        <f>411.2-D21-D20</f>
        <v>145.4</v>
      </c>
      <c r="E22" s="14">
        <f>F22-D22-C22</f>
        <v>43.3</v>
      </c>
      <c r="F22" s="14">
        <f>779-F21-F20</f>
        <v>274.4</v>
      </c>
      <c r="G22" s="14">
        <f>-269.5-G21-G20</f>
        <v>-170.4</v>
      </c>
      <c r="H22" s="14">
        <f>375.2-I22</f>
        <v>366.2</v>
      </c>
      <c r="I22" s="14">
        <v>9</v>
      </c>
      <c r="J22" s="14">
        <f>375.2-J21-J20</f>
        <v>356.4</v>
      </c>
      <c r="K22" s="14">
        <f>F22+G22</f>
        <v>104</v>
      </c>
      <c r="L22" s="14">
        <f>AVERAGE(K19:K22)</f>
        <v>157.375</v>
      </c>
      <c r="M22" s="14">
        <f>-J22+M21</f>
        <v>-2582.2</v>
      </c>
    </row>
    <row r="23" ht="20.05" customHeight="1">
      <c r="B23" s="30"/>
      <c r="C23" s="13"/>
      <c r="D23" s="14"/>
      <c r="E23" s="14"/>
      <c r="F23" s="14"/>
      <c r="G23" s="14"/>
      <c r="H23" s="14"/>
      <c r="I23" s="14"/>
      <c r="J23" s="14"/>
      <c r="K23" s="14"/>
      <c r="L23" s="14">
        <f>SUM('Model'!F9:F10)</f>
        <v>272.163731012590</v>
      </c>
      <c r="M23" s="14">
        <f>'Model'!F32</f>
        <v>-1560.480957582620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8906" style="36" customWidth="1"/>
    <col min="2" max="10" width="11.875" style="36" customWidth="1"/>
    <col min="11" max="16384" width="16.3516" style="36" customWidth="1"/>
  </cols>
  <sheetData>
    <row r="1" ht="27.65" customHeight="1">
      <c r="A1" t="s" s="2">
        <v>20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25">
        <v>1</v>
      </c>
      <c r="B2" t="s" s="25">
        <v>52</v>
      </c>
      <c r="C2" t="s" s="25">
        <v>53</v>
      </c>
      <c r="D2" t="s" s="25">
        <v>21</v>
      </c>
      <c r="E2" t="s" s="25">
        <v>22</v>
      </c>
      <c r="F2" t="s" s="25">
        <v>11</v>
      </c>
      <c r="G2" t="s" s="25">
        <v>48</v>
      </c>
      <c r="H2" t="s" s="25">
        <v>54</v>
      </c>
      <c r="I2" t="s" s="25">
        <v>55</v>
      </c>
      <c r="J2" t="s" s="25">
        <v>34</v>
      </c>
    </row>
    <row r="3" ht="20.25" customHeight="1">
      <c r="A3" s="26">
        <v>2017</v>
      </c>
      <c r="B3" s="27">
        <v>259</v>
      </c>
      <c r="C3" s="35">
        <v>4947</v>
      </c>
      <c r="D3" s="35">
        <f>C3-B3</f>
        <v>4688</v>
      </c>
      <c r="E3" s="35">
        <f>'Cashflow'!D4</f>
        <v>128</v>
      </c>
      <c r="F3" s="35">
        <v>5488</v>
      </c>
      <c r="G3" s="35">
        <v>-541</v>
      </c>
      <c r="H3" s="35">
        <f>F3+G3-B3-D3</f>
        <v>0</v>
      </c>
      <c r="I3" s="35">
        <f>B3-F3</f>
        <v>-5229</v>
      </c>
      <c r="J3" s="35"/>
    </row>
    <row r="4" ht="20.05" customHeight="1">
      <c r="A4" s="30"/>
      <c r="B4" s="13">
        <v>224</v>
      </c>
      <c r="C4" s="14">
        <v>4984</v>
      </c>
      <c r="D4" s="14">
        <f>C4-B4</f>
        <v>4760</v>
      </c>
      <c r="E4" s="14">
        <f>E3+'Cashflow'!D5</f>
        <v>229</v>
      </c>
      <c r="F4" s="14">
        <v>5502</v>
      </c>
      <c r="G4" s="14">
        <v>-518</v>
      </c>
      <c r="H4" s="14">
        <f>F4+G4-B4-D4</f>
        <v>0</v>
      </c>
      <c r="I4" s="14">
        <f>B4-F4</f>
        <v>-5278</v>
      </c>
      <c r="J4" s="14"/>
    </row>
    <row r="5" ht="20.05" customHeight="1">
      <c r="A5" s="30"/>
      <c r="B5" s="13">
        <v>265</v>
      </c>
      <c r="C5" s="14">
        <v>5569</v>
      </c>
      <c r="D5" s="14">
        <f>C5-B5</f>
        <v>5304</v>
      </c>
      <c r="E5" s="14">
        <f>E4+'Cashflow'!D6</f>
        <v>-1214</v>
      </c>
      <c r="F5" s="14">
        <v>5309</v>
      </c>
      <c r="G5" s="14">
        <v>260</v>
      </c>
      <c r="H5" s="14">
        <f>F5+G5-B5-D5</f>
        <v>0</v>
      </c>
      <c r="I5" s="14">
        <f>B5-F5</f>
        <v>-5044</v>
      </c>
      <c r="J5" s="14"/>
    </row>
    <row r="6" ht="20.05" customHeight="1">
      <c r="A6" s="30"/>
      <c r="B6" s="13">
        <v>278</v>
      </c>
      <c r="C6" s="14">
        <v>5235</v>
      </c>
      <c r="D6" s="14">
        <f>C6-B6</f>
        <v>4957</v>
      </c>
      <c r="E6" s="14">
        <f>E5+'Cashflow'!D7</f>
        <v>-473</v>
      </c>
      <c r="F6" s="14">
        <v>5308</v>
      </c>
      <c r="G6" s="14">
        <v>-73</v>
      </c>
      <c r="H6" s="14">
        <f>F6+G6-B6-D6</f>
        <v>0</v>
      </c>
      <c r="I6" s="14">
        <f>B6-F6</f>
        <v>-5030</v>
      </c>
      <c r="J6" s="14"/>
    </row>
    <row r="7" ht="20.05" customHeight="1">
      <c r="A7" s="32">
        <v>2018</v>
      </c>
      <c r="B7" s="13">
        <v>218</v>
      </c>
      <c r="C7" s="14">
        <v>5165</v>
      </c>
      <c r="D7" s="14">
        <f>C7-B7</f>
        <v>4947</v>
      </c>
      <c r="E7" s="14">
        <f>E6+'Cashflow'!D8</f>
        <v>-383</v>
      </c>
      <c r="F7" s="14">
        <v>5199</v>
      </c>
      <c r="G7" s="14">
        <v>-34</v>
      </c>
      <c r="H7" s="14">
        <f>F7+G7-B7-D7</f>
        <v>0</v>
      </c>
      <c r="I7" s="14">
        <f>B7-F7</f>
        <v>-4981</v>
      </c>
      <c r="J7" s="14"/>
    </row>
    <row r="8" ht="20.05" customHeight="1">
      <c r="A8" s="30"/>
      <c r="B8" s="13">
        <v>200</v>
      </c>
      <c r="C8" s="14">
        <v>5092</v>
      </c>
      <c r="D8" s="14">
        <f>C8-B8</f>
        <v>4892</v>
      </c>
      <c r="E8" s="14">
        <f>E7+'Cashflow'!D9</f>
        <v>-340</v>
      </c>
      <c r="F8" s="14">
        <v>5064</v>
      </c>
      <c r="G8" s="14">
        <v>28</v>
      </c>
      <c r="H8" s="14">
        <f>F8+G8-B8-D8</f>
        <v>0</v>
      </c>
      <c r="I8" s="14">
        <f>B8-F8</f>
        <v>-4864</v>
      </c>
      <c r="J8" s="14"/>
    </row>
    <row r="9" ht="20.05" customHeight="1">
      <c r="A9" s="30"/>
      <c r="B9" s="13">
        <v>244.5</v>
      </c>
      <c r="C9" s="14">
        <v>5084</v>
      </c>
      <c r="D9" s="14">
        <f>C9-B9</f>
        <v>4839.5</v>
      </c>
      <c r="E9" s="14">
        <f>E8+'Cashflow'!D10</f>
        <v>-253</v>
      </c>
      <c r="F9" s="14">
        <v>5014</v>
      </c>
      <c r="G9" s="14">
        <v>70</v>
      </c>
      <c r="H9" s="14">
        <f>F9+G9-B9-D9</f>
        <v>0</v>
      </c>
      <c r="I9" s="14">
        <f>B9-F9</f>
        <v>-4769.5</v>
      </c>
      <c r="J9" s="14"/>
    </row>
    <row r="10" ht="20.05" customHeight="1">
      <c r="A10" s="30"/>
      <c r="B10" s="13">
        <v>480</v>
      </c>
      <c r="C10" s="14">
        <v>10961</v>
      </c>
      <c r="D10" s="14">
        <f>C10-B10</f>
        <v>10481</v>
      </c>
      <c r="E10" s="14">
        <f>E9+'Cashflow'!D11</f>
        <v>-122</v>
      </c>
      <c r="F10" s="14">
        <v>10230</v>
      </c>
      <c r="G10" s="14">
        <v>731</v>
      </c>
      <c r="H10" s="14">
        <f>F10+G10-B10-D10</f>
        <v>0</v>
      </c>
      <c r="I10" s="14">
        <f>B10-F10</f>
        <v>-9750</v>
      </c>
      <c r="J10" s="14"/>
    </row>
    <row r="11" ht="20.05" customHeight="1">
      <c r="A11" s="32">
        <v>2019</v>
      </c>
      <c r="B11" s="13">
        <v>400</v>
      </c>
      <c r="C11" s="14">
        <v>13498</v>
      </c>
      <c r="D11" s="14">
        <f>C11-B11</f>
        <v>13098</v>
      </c>
      <c r="E11" s="14">
        <f>E10+'Cashflow'!D12</f>
        <v>88</v>
      </c>
      <c r="F11" s="14">
        <v>11636</v>
      </c>
      <c r="G11" s="14">
        <v>1862</v>
      </c>
      <c r="H11" s="14">
        <f>F11+G11-B11-D11</f>
        <v>0</v>
      </c>
      <c r="I11" s="14">
        <f>B11-F11</f>
        <v>-11236</v>
      </c>
      <c r="J11" s="14"/>
    </row>
    <row r="12" ht="20.05" customHeight="1">
      <c r="A12" s="30"/>
      <c r="B12" s="13">
        <v>379</v>
      </c>
      <c r="C12" s="14">
        <v>14209</v>
      </c>
      <c r="D12" s="14">
        <f>C12-B12</f>
        <v>13830</v>
      </c>
      <c r="E12" s="14">
        <f>E11+'Cashflow'!D13</f>
        <v>279.1</v>
      </c>
      <c r="F12" s="14">
        <v>12318</v>
      </c>
      <c r="G12" s="14">
        <v>1892</v>
      </c>
      <c r="H12" s="14">
        <f>F12+G12-B12-D12</f>
        <v>1</v>
      </c>
      <c r="I12" s="14">
        <f>B12-F12</f>
        <v>-11939</v>
      </c>
      <c r="J12" s="14"/>
    </row>
    <row r="13" ht="20.05" customHeight="1">
      <c r="A13" s="30"/>
      <c r="B13" s="13">
        <v>407</v>
      </c>
      <c r="C13" s="14">
        <v>14318</v>
      </c>
      <c r="D13" s="14">
        <f>C13-B13</f>
        <v>13911</v>
      </c>
      <c r="E13" s="14">
        <f>E12+'Cashflow'!D14</f>
        <v>668</v>
      </c>
      <c r="F13" s="14">
        <v>12379</v>
      </c>
      <c r="G13" s="14">
        <v>1939</v>
      </c>
      <c r="H13" s="14">
        <f>F13+G13-B13-D13</f>
        <v>0</v>
      </c>
      <c r="I13" s="14">
        <f>B13-F13</f>
        <v>-11972</v>
      </c>
      <c r="J13" s="14"/>
    </row>
    <row r="14" ht="20.05" customHeight="1">
      <c r="A14" s="30"/>
      <c r="B14" s="13">
        <v>437</v>
      </c>
      <c r="C14" s="14">
        <v>14195</v>
      </c>
      <c r="D14" s="14">
        <f>C14-B14</f>
        <v>13758</v>
      </c>
      <c r="E14" s="14">
        <f>E13+'Cashflow'!D15</f>
        <v>1124</v>
      </c>
      <c r="F14" s="14">
        <v>12343</v>
      </c>
      <c r="G14" s="14">
        <v>1852</v>
      </c>
      <c r="H14" s="14">
        <f>F14+G14-B14-D14</f>
        <v>0</v>
      </c>
      <c r="I14" s="14">
        <f>B14-F14</f>
        <v>-11906</v>
      </c>
      <c r="J14" s="14"/>
    </row>
    <row r="15" ht="20.05" customHeight="1">
      <c r="A15" s="32">
        <v>2020</v>
      </c>
      <c r="B15" s="13">
        <v>731</v>
      </c>
      <c r="C15" s="14">
        <v>13938</v>
      </c>
      <c r="D15" s="14">
        <f>C15-B15</f>
        <v>13207</v>
      </c>
      <c r="E15" s="14">
        <f>E14+'Cashflow'!D16</f>
        <v>2430</v>
      </c>
      <c r="F15" s="14">
        <v>12661</v>
      </c>
      <c r="G15" s="14">
        <v>1278</v>
      </c>
      <c r="H15" s="14">
        <f>F15+G15-B15-D15</f>
        <v>1</v>
      </c>
      <c r="I15" s="14">
        <f>B15-F15</f>
        <v>-11930</v>
      </c>
      <c r="J15" s="14"/>
    </row>
    <row r="16" ht="20.05" customHeight="1">
      <c r="A16" s="30"/>
      <c r="B16" s="13">
        <v>1245</v>
      </c>
      <c r="C16" s="14">
        <v>14322</v>
      </c>
      <c r="D16" s="14">
        <f>C16-B16</f>
        <v>13077</v>
      </c>
      <c r="E16" s="14">
        <f>E15+'Cashflow'!D17</f>
        <v>2613</v>
      </c>
      <c r="F16" s="14">
        <v>12817</v>
      </c>
      <c r="G16" s="14">
        <v>1505</v>
      </c>
      <c r="H16" s="14">
        <f>F16+G16-B16-D16</f>
        <v>0</v>
      </c>
      <c r="I16" s="14">
        <f>B16-F16</f>
        <v>-11572</v>
      </c>
      <c r="J16" s="14"/>
    </row>
    <row r="17" ht="20.05" customHeight="1">
      <c r="A17" s="30"/>
      <c r="B17" s="13">
        <v>1873</v>
      </c>
      <c r="C17" s="14">
        <v>14812</v>
      </c>
      <c r="D17" s="14">
        <f>C17-B17</f>
        <v>12939</v>
      </c>
      <c r="E17" s="14">
        <f>E16+'Cashflow'!D18</f>
        <v>2850</v>
      </c>
      <c r="F17" s="14">
        <v>12180</v>
      </c>
      <c r="G17" s="14">
        <v>2632</v>
      </c>
      <c r="H17" s="14">
        <f>F17+G17-B17-D17</f>
        <v>0</v>
      </c>
      <c r="I17" s="14">
        <f>B17-F17</f>
        <v>-10307</v>
      </c>
      <c r="J17" s="14"/>
    </row>
    <row r="18" ht="20.05" customHeight="1">
      <c r="A18" s="30"/>
      <c r="B18" s="13">
        <v>1854</v>
      </c>
      <c r="C18" s="14">
        <v>14667</v>
      </c>
      <c r="D18" s="14">
        <f>C18-B18</f>
        <v>12813</v>
      </c>
      <c r="E18" s="14">
        <f>E17+'Cashflow'!D19</f>
        <v>3102.2</v>
      </c>
      <c r="F18" s="14">
        <v>12012</v>
      </c>
      <c r="G18" s="14">
        <v>2656</v>
      </c>
      <c r="H18" s="14">
        <f>F18+G18-B18-D18</f>
        <v>1</v>
      </c>
      <c r="I18" s="14">
        <f>B18-F18</f>
        <v>-10158</v>
      </c>
      <c r="J18" s="14"/>
    </row>
    <row r="19" ht="20.05" customHeight="1">
      <c r="A19" s="32">
        <v>2021</v>
      </c>
      <c r="B19" s="13">
        <v>2062</v>
      </c>
      <c r="C19" s="14">
        <v>14888</v>
      </c>
      <c r="D19" s="14">
        <f>C19-B19</f>
        <v>12826</v>
      </c>
      <c r="E19" s="14">
        <f>E18+'Cashflow'!D20</f>
        <v>3212.2</v>
      </c>
      <c r="F19" s="14">
        <v>12132</v>
      </c>
      <c r="G19" s="14">
        <v>2756</v>
      </c>
      <c r="H19" s="14">
        <f>F19+G19-B19-D19</f>
        <v>0</v>
      </c>
      <c r="I19" s="14">
        <f>B19-F19</f>
        <v>-10070</v>
      </c>
      <c r="J19" s="14"/>
    </row>
    <row r="20" ht="20.05" customHeight="1">
      <c r="A20" s="30"/>
      <c r="B20" s="13">
        <v>2275</v>
      </c>
      <c r="C20" s="14">
        <v>15078</v>
      </c>
      <c r="D20" s="14">
        <f>C20-B20</f>
        <v>12803</v>
      </c>
      <c r="E20" s="14">
        <f>E19+'Cashflow'!D21</f>
        <v>3368</v>
      </c>
      <c r="F20" s="14">
        <v>12120</v>
      </c>
      <c r="G20" s="14">
        <v>2958</v>
      </c>
      <c r="H20" s="14">
        <f>F20+G20-B20-D20</f>
        <v>0</v>
      </c>
      <c r="I20" s="14">
        <f>B20-F20</f>
        <v>-9845</v>
      </c>
      <c r="J20" s="14"/>
    </row>
    <row r="21" ht="20.05" customHeight="1">
      <c r="A21" s="30"/>
      <c r="B21" s="13">
        <v>2729</v>
      </c>
      <c r="C21" s="14">
        <v>15748.7</v>
      </c>
      <c r="D21" s="14">
        <f>C21-B21</f>
        <v>13019.7</v>
      </c>
      <c r="E21" s="14">
        <f>E20+'Cashflow'!D22</f>
        <v>3513.4</v>
      </c>
      <c r="F21" s="14">
        <v>12677.3</v>
      </c>
      <c r="G21" s="14">
        <v>3071.4</v>
      </c>
      <c r="H21" s="14">
        <f>F21+G21-B21-D21</f>
        <v>0</v>
      </c>
      <c r="I21" s="14">
        <f>B21-F21</f>
        <v>-9948.299999999999</v>
      </c>
      <c r="J21" s="14">
        <f>I21</f>
        <v>-9948.299999999999</v>
      </c>
    </row>
    <row r="22" ht="20.05" customHeight="1">
      <c r="A22" s="30"/>
      <c r="B22" s="13"/>
      <c r="C22" s="14"/>
      <c r="D22" s="14"/>
      <c r="E22" s="14"/>
      <c r="F22" s="14"/>
      <c r="G22" s="14"/>
      <c r="H22" s="14"/>
      <c r="I22" s="14"/>
      <c r="J22" s="14">
        <f>'Model'!F30</f>
        <v>-9138.866670307840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9.91406" style="37" customWidth="1"/>
    <col min="2" max="3" width="9.58594" style="37" customWidth="1"/>
    <col min="4" max="16384" width="16.3516" style="37" customWidth="1"/>
  </cols>
  <sheetData>
    <row r="1" ht="27.65" customHeight="1">
      <c r="A1" t="s" s="2">
        <v>56</v>
      </c>
      <c r="B1" s="2"/>
      <c r="C1" s="2"/>
    </row>
    <row r="2" ht="20.25" customHeight="1">
      <c r="A2" t="s" s="25">
        <v>57</v>
      </c>
      <c r="B2" t="s" s="25">
        <v>58</v>
      </c>
      <c r="C2" t="s" s="25">
        <v>59</v>
      </c>
    </row>
    <row r="3" ht="20.25" customHeight="1">
      <c r="A3" s="26">
        <v>2018</v>
      </c>
      <c r="B3" s="27">
        <v>26.610001</v>
      </c>
      <c r="C3" s="8"/>
    </row>
    <row r="4" ht="20.05" customHeight="1">
      <c r="A4" s="30"/>
      <c r="B4" s="13">
        <v>34.080002</v>
      </c>
      <c r="C4" s="22"/>
    </row>
    <row r="5" ht="20.05" customHeight="1">
      <c r="A5" s="30"/>
      <c r="B5" s="13">
        <v>34.459999</v>
      </c>
      <c r="C5" s="22"/>
    </row>
    <row r="6" ht="20.05" customHeight="1">
      <c r="A6" s="30"/>
      <c r="B6" s="13">
        <v>22.110001</v>
      </c>
      <c r="C6" s="22"/>
    </row>
    <row r="7" ht="20.05" customHeight="1">
      <c r="A7" s="32">
        <v>2019</v>
      </c>
      <c r="B7" s="13">
        <v>24.85</v>
      </c>
      <c r="C7" s="22"/>
    </row>
    <row r="8" ht="20.05" customHeight="1">
      <c r="A8" s="30"/>
      <c r="B8" s="13">
        <v>18.85</v>
      </c>
      <c r="C8" s="22"/>
    </row>
    <row r="9" ht="20.05" customHeight="1">
      <c r="A9" s="30"/>
      <c r="B9" s="13">
        <v>19.17</v>
      </c>
      <c r="C9" s="22"/>
    </row>
    <row r="10" ht="20.05" customHeight="1">
      <c r="A10" s="30"/>
      <c r="B10" s="13">
        <v>23.030001</v>
      </c>
      <c r="C10" s="22"/>
    </row>
    <row r="11" ht="20.05" customHeight="1">
      <c r="A11" s="32">
        <v>2020</v>
      </c>
      <c r="B11" s="13">
        <v>29.57</v>
      </c>
      <c r="C11" s="22"/>
    </row>
    <row r="12" ht="20.05" customHeight="1">
      <c r="A12" s="30"/>
      <c r="B12" s="13">
        <v>32.810001</v>
      </c>
      <c r="C12" s="22"/>
    </row>
    <row r="13" ht="20.05" customHeight="1">
      <c r="A13" s="30"/>
      <c r="B13" s="17">
        <v>72.699997</v>
      </c>
      <c r="C13" s="22"/>
    </row>
    <row r="14" ht="20.05" customHeight="1">
      <c r="A14" s="30"/>
      <c r="B14" s="17">
        <v>94.660004</v>
      </c>
      <c r="C14" s="22"/>
    </row>
    <row r="15" ht="20.05" customHeight="1">
      <c r="A15" s="32">
        <v>2021</v>
      </c>
      <c r="B15" s="17">
        <v>104.839996</v>
      </c>
      <c r="C15" s="22"/>
    </row>
    <row r="16" ht="20.05" customHeight="1">
      <c r="A16" s="30"/>
      <c r="B16" s="17">
        <v>76.38</v>
      </c>
      <c r="C16" s="22"/>
    </row>
    <row r="17" ht="20.05" customHeight="1">
      <c r="A17" s="30"/>
      <c r="B17" s="17">
        <v>78.63</v>
      </c>
      <c r="C17" s="22"/>
    </row>
    <row r="18" ht="20.05" customHeight="1">
      <c r="A18" s="30"/>
      <c r="B18" s="17">
        <v>48.22</v>
      </c>
      <c r="C18" s="21">
        <f>B18</f>
        <v>48.22</v>
      </c>
    </row>
    <row r="19" ht="20.05" customHeight="1">
      <c r="A19" s="30"/>
      <c r="B19" s="17"/>
      <c r="C19" s="21">
        <f>'Model'!F42</f>
        <v>72.3278085031067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