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Data" sheetId="2" r:id="rId5"/>
  </sheets>
</workbook>
</file>

<file path=xl/sharedStrings.xml><?xml version="1.0" encoding="utf-8"?>
<sst xmlns="http://schemas.openxmlformats.org/spreadsheetml/2006/main" uniqueCount="50">
  <si>
    <t>Data &amp; model</t>
  </si>
  <si>
    <t>Rpbn</t>
  </si>
  <si>
    <t>Cashflow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</si>
  <si>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</si>
  <si>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</si>
  <si>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</si>
  <si>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</si>
  <si>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</si>
  <si>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 xml:space="preserve">Investment </t>
  </si>
  <si>
    <t xml:space="preserve">Liabilities </t>
  </si>
  <si>
    <t xml:space="preserve">Equity </t>
  </si>
  <si>
    <t xml:space="preserve">Before revolver </t>
  </si>
  <si>
    <t xml:space="preserve">Revolver </t>
  </si>
  <si>
    <t>Finance</t>
  </si>
  <si>
    <t xml:space="preserve">Beginning </t>
  </si>
  <si>
    <t>Change</t>
  </si>
  <si>
    <t xml:space="preserve">Ending </t>
  </si>
  <si>
    <t xml:space="preserve">Profit </t>
  </si>
  <si>
    <t xml:space="preserve">Non cash costs </t>
  </si>
  <si>
    <t>Profit</t>
  </si>
  <si>
    <t xml:space="preserve">Balance sheet </t>
  </si>
  <si>
    <t>Other assets</t>
  </si>
  <si>
    <t xml:space="preserve">Depreciation </t>
  </si>
  <si>
    <t xml:space="preserve">Net other assets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</si>
  <si>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</si>
  <si>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</si>
  <si>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</si>
  <si>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</si>
  <si>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</si>
  <si>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</si>
  <si>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</si>
  <si>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</si>
  <si>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</si>
  <si>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</si>
  <si>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</si>
  <si>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</si>
  <si>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</si>
  <si>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</si>
  <si>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</si>
  <si>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</si>
  <si>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>Data</t>
  </si>
  <si>
    <t>Receipts</t>
  </si>
  <si>
    <t xml:space="preserve">Cashflow costs </t>
  </si>
  <si>
    <t xml:space="preserve">Free cashflow </t>
  </si>
  <si>
    <t xml:space="preserve">Cashflow </t>
  </si>
  <si>
    <t>Capital</t>
  </si>
  <si>
    <t xml:space="preserve">Others </t>
  </si>
  <si>
    <t>Assets</t>
  </si>
  <si>
    <t>PALM</t>
  </si>
  <si>
    <t xml:space="preserve">Target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</si>
</sst>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646104</xdr:colOff>
      <xdr:row>1</xdr:row>
      <xdr:rowOff>77923</xdr:rowOff>
    </xdr:from>
    <xdr:to>
      <xdr:col>13</xdr:col>
      <xdr:colOff>385087</xdr:colOff>
      <xdr:row>44</xdr:row>
      <xdr:rowOff>238270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48204" y="664028"/>
          <a:ext cx="8451184" cy="112112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84375" style="1" customWidth="1"/>
    <col min="2" max="2" width="16.6797" style="1" customWidth="1"/>
    <col min="3" max="6" width="8.25" style="1" customWidth="1"/>
    <col min="7" max="16384" width="16.3516" style="1" customWidth="1"/>
  </cols>
  <sheetData>
    <row r="1" ht="46.1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>
        <v>2022</v>
      </c>
      <c r="D3" s="5"/>
      <c r="E3" s="5"/>
      <c r="F3" s="5"/>
    </row>
    <row r="4" ht="20.25" customHeight="1">
      <c r="B4" t="s" s="6">
        <v>2</v>
      </c>
      <c r="C4" s="7">
        <f>AVERAGE('Data'!F5:I5)</f>
        <v>0.144203259961203</v>
      </c>
      <c r="D4" s="8"/>
      <c r="E4" s="8"/>
      <c r="F4" s="9">
        <f>AVERAGE(C5:F5)</f>
        <v>0.055</v>
      </c>
    </row>
    <row r="5" ht="20.05" customHeight="1">
      <c r="B5" t="s" s="10">
        <v>3</v>
      </c>
      <c r="C5" s="11">
        <v>0.15</v>
      </c>
      <c r="D5" s="12">
        <v>-0.01</v>
      </c>
      <c r="E5" s="12">
        <v>0.03</v>
      </c>
      <c r="F5" s="12">
        <v>0.05</v>
      </c>
    </row>
    <row r="6" ht="20.05" customHeight="1">
      <c r="B6" t="s" s="10">
        <v>4</v>
      </c>
      <c r="C6" s="13">
        <f>'Data'!I6*(1+C5)</f>
        <v>119.485</v>
      </c>
      <c r="D6" s="14">
        <f>C6*(1+D5)</f>
        <v>118.29015</v>
      </c>
      <c r="E6" s="14">
        <f>D6*(1+E5)</f>
        <v>121.8388545</v>
      </c>
      <c r="F6" s="14">
        <f>E6*(1+F5)</f>
        <v>127.930797225</v>
      </c>
    </row>
    <row r="7" ht="20.05" customHeight="1">
      <c r="B7" t="s" s="10">
        <v>5</v>
      </c>
      <c r="C7" s="11">
        <f>AVERAGE('Data'!I10)</f>
        <v>-0.62585496681466</v>
      </c>
      <c r="D7" s="12">
        <f>C7</f>
        <v>-0.62585496681466</v>
      </c>
      <c r="E7" s="12">
        <f>D7</f>
        <v>-0.62585496681466</v>
      </c>
      <c r="F7" s="12">
        <f>E7</f>
        <v>-0.62585496681466</v>
      </c>
    </row>
    <row r="8" ht="20.05" customHeight="1">
      <c r="B8" t="s" s="10">
        <v>6</v>
      </c>
      <c r="C8" s="13">
        <f>C6*C7</f>
        <v>-74.78028070984971</v>
      </c>
      <c r="D8" s="14">
        <f>D6*D7</f>
        <v>-74.0324779027512</v>
      </c>
      <c r="E8" s="14">
        <f>E6*E7</f>
        <v>-76.25345223983371</v>
      </c>
      <c r="F8" s="14">
        <f>F6*F7</f>
        <v>-80.06612485182541</v>
      </c>
    </row>
    <row r="9" ht="20.05" customHeight="1">
      <c r="B9" t="s" s="10">
        <v>7</v>
      </c>
      <c r="C9" s="13">
        <f>C6+C8</f>
        <v>44.7047192901503</v>
      </c>
      <c r="D9" s="14">
        <f>D6+D8</f>
        <v>44.2576720972488</v>
      </c>
      <c r="E9" s="14">
        <f>E6+E8</f>
        <v>45.5854022601663</v>
      </c>
      <c r="F9" s="14">
        <f>F6+F8</f>
        <v>47.8646723731746</v>
      </c>
    </row>
    <row r="10" ht="20.05" customHeight="1">
      <c r="B10" t="s" s="10">
        <v>8</v>
      </c>
      <c r="C10" s="13">
        <f>'Data'!I13</f>
        <v>-6.9</v>
      </c>
      <c r="D10" s="14">
        <f>C10</f>
        <v>-6.9</v>
      </c>
      <c r="E10" s="14">
        <f>D10</f>
        <v>-6.9</v>
      </c>
      <c r="F10" s="14">
        <f>E10</f>
        <v>-6.9</v>
      </c>
    </row>
    <row r="11" ht="20.05" customHeight="1">
      <c r="B11" t="s" s="10">
        <v>9</v>
      </c>
      <c r="C11" s="13">
        <f>-'Data'!I33/20</f>
        <v>-7.25</v>
      </c>
      <c r="D11" s="14">
        <f>-C26/20</f>
        <v>-6.8875</v>
      </c>
      <c r="E11" s="14">
        <f>-D26/20</f>
        <v>-6.543125</v>
      </c>
      <c r="F11" s="14">
        <f>-E26/20</f>
        <v>-6.21596875</v>
      </c>
    </row>
    <row r="12" ht="20.05" customHeight="1">
      <c r="B12" t="s" s="10">
        <v>10</v>
      </c>
      <c r="C12" s="13">
        <f>IF(C21&gt;0,-C21*0.3,0)</f>
        <v>-12.5414157870451</v>
      </c>
      <c r="D12" s="14">
        <f>IF(D21&gt;0,-D21*0.3,0)</f>
        <v>-12.4073016291746</v>
      </c>
      <c r="E12" s="14">
        <f>IF(E21&gt;0,-E21*0.3,0)</f>
        <v>-12.8056206780499</v>
      </c>
      <c r="F12" s="14">
        <f>IF(F21&gt;0,-F21*0.3,0)</f>
        <v>-13.4894017119524</v>
      </c>
    </row>
    <row r="13" ht="20.05" customHeight="1">
      <c r="B13" t="s" s="10">
        <v>11</v>
      </c>
      <c r="C13" s="13">
        <f>C9+C10+C11+C12</f>
        <v>18.0133035031052</v>
      </c>
      <c r="D13" s="14">
        <f>D9+D10+D11+D12</f>
        <v>18.0628704680742</v>
      </c>
      <c r="E13" s="14">
        <f>E9+E10+E11+E12</f>
        <v>19.3366565821164</v>
      </c>
      <c r="F13" s="14">
        <f>F9+F10+F11+F12</f>
        <v>21.2593019112222</v>
      </c>
    </row>
    <row r="14" ht="20.05" customHeight="1">
      <c r="B14" t="s" s="10">
        <v>12</v>
      </c>
      <c r="C14" s="13">
        <f>-MIN(0,C13)</f>
        <v>0</v>
      </c>
      <c r="D14" s="14">
        <f>-MIN(C27,D13)</f>
        <v>0</v>
      </c>
      <c r="E14" s="14">
        <f>-MIN(D27,E13)</f>
        <v>0</v>
      </c>
      <c r="F14" s="14">
        <f>-MIN(E27,F13)</f>
        <v>0</v>
      </c>
    </row>
    <row r="15" ht="20.05" customHeight="1">
      <c r="B15" t="s" s="10">
        <v>13</v>
      </c>
      <c r="C15" s="13">
        <f>C11+C12+C14</f>
        <v>-19.7914157870451</v>
      </c>
      <c r="D15" s="14">
        <f>D11+D12+D14</f>
        <v>-19.2948016291746</v>
      </c>
      <c r="E15" s="14">
        <f>E11+E12+E14</f>
        <v>-19.3487456780499</v>
      </c>
      <c r="F15" s="14">
        <f>F11+F12+F14</f>
        <v>-19.7053704619524</v>
      </c>
    </row>
    <row r="16" ht="20.05" customHeight="1">
      <c r="B16" t="s" s="10">
        <v>14</v>
      </c>
      <c r="C16" s="13">
        <f>'Data'!I24</f>
        <v>86.2</v>
      </c>
      <c r="D16" s="14">
        <f>C18</f>
        <v>104.213303503105</v>
      </c>
      <c r="E16" s="14">
        <f>D18</f>
        <v>122.276173971179</v>
      </c>
      <c r="F16" s="14">
        <f>E18</f>
        <v>141.612830553295</v>
      </c>
    </row>
    <row r="17" ht="20.05" customHeight="1">
      <c r="B17" t="s" s="10">
        <v>15</v>
      </c>
      <c r="C17" s="13">
        <f>C9+C10+C15</f>
        <v>18.0133035031052</v>
      </c>
      <c r="D17" s="14">
        <f>D9+D10+D15</f>
        <v>18.0628704680742</v>
      </c>
      <c r="E17" s="14">
        <f>E9+E10+E15</f>
        <v>19.3366565821164</v>
      </c>
      <c r="F17" s="14">
        <f>F9+F10+F15</f>
        <v>21.2593019112222</v>
      </c>
    </row>
    <row r="18" ht="20.05" customHeight="1">
      <c r="B18" t="s" s="10">
        <v>16</v>
      </c>
      <c r="C18" s="13">
        <f>C16+C17</f>
        <v>104.213303503105</v>
      </c>
      <c r="D18" s="14">
        <f>D16+D17</f>
        <v>122.276173971179</v>
      </c>
      <c r="E18" s="14">
        <f>E16+E17</f>
        <v>141.612830553295</v>
      </c>
      <c r="F18" s="14">
        <f>F16+F17</f>
        <v>162.872132464517</v>
      </c>
    </row>
    <row r="19" ht="20.05" customHeight="1">
      <c r="B19" t="s" s="15">
        <v>17</v>
      </c>
      <c r="C19" s="13"/>
      <c r="D19" s="14"/>
      <c r="E19" s="14"/>
      <c r="F19" s="16"/>
    </row>
    <row r="20" ht="20.05" customHeight="1">
      <c r="B20" t="s" s="10">
        <v>18</v>
      </c>
      <c r="C20" s="13">
        <f>-'Data'!I26</f>
        <v>-2.9</v>
      </c>
      <c r="D20" s="14">
        <f>C20</f>
        <v>-2.9</v>
      </c>
      <c r="E20" s="14">
        <f>D20</f>
        <v>-2.9</v>
      </c>
      <c r="F20" s="14">
        <f>E20</f>
        <v>-2.9</v>
      </c>
    </row>
    <row r="21" ht="20.05" customHeight="1">
      <c r="B21" t="s" s="10">
        <v>19</v>
      </c>
      <c r="C21" s="13">
        <f>C6+C8+C20</f>
        <v>41.8047192901503</v>
      </c>
      <c r="D21" s="14">
        <f>D6+D8+D20</f>
        <v>41.3576720972488</v>
      </c>
      <c r="E21" s="14">
        <f>E6+E8+E20</f>
        <v>42.6854022601663</v>
      </c>
      <c r="F21" s="14">
        <f>F6+F8+F20</f>
        <v>44.9646723731746</v>
      </c>
    </row>
    <row r="22" ht="20.05" customHeight="1">
      <c r="B22" t="s" s="15">
        <v>20</v>
      </c>
      <c r="C22" s="13"/>
      <c r="D22" s="14"/>
      <c r="E22" s="14"/>
      <c r="F22" s="14"/>
    </row>
    <row r="23" ht="20.05" customHeight="1">
      <c r="B23" t="s" s="10">
        <v>21</v>
      </c>
      <c r="C23" s="13">
        <f>'Data'!I31+'Data'!I32-C10</f>
        <v>4202.7</v>
      </c>
      <c r="D23" s="14">
        <f>C23-D10</f>
        <v>4209.6</v>
      </c>
      <c r="E23" s="14">
        <f>D23-E10</f>
        <v>4216.5</v>
      </c>
      <c r="F23" s="14">
        <f>E23-F10</f>
        <v>4223.4</v>
      </c>
    </row>
    <row r="24" ht="20.05" customHeight="1">
      <c r="B24" t="s" s="10">
        <v>22</v>
      </c>
      <c r="C24" s="13">
        <f>'Data'!I31-C20</f>
        <v>138.9</v>
      </c>
      <c r="D24" s="14">
        <f>C24+D20</f>
        <v>136</v>
      </c>
      <c r="E24" s="14">
        <f>D24+E20</f>
        <v>133.1</v>
      </c>
      <c r="F24" s="14">
        <f>E24+F20</f>
        <v>130.2</v>
      </c>
    </row>
    <row r="25" ht="20.05" customHeight="1">
      <c r="B25" t="s" s="10">
        <v>23</v>
      </c>
      <c r="C25" s="13">
        <f>C23-C24</f>
        <v>4063.8</v>
      </c>
      <c r="D25" s="14">
        <f>D23-D24</f>
        <v>4073.6</v>
      </c>
      <c r="E25" s="14">
        <f>E23-E24</f>
        <v>4083.4</v>
      </c>
      <c r="F25" s="14">
        <f>F23-F24</f>
        <v>4093.2</v>
      </c>
    </row>
    <row r="26" ht="20.05" customHeight="1">
      <c r="B26" t="s" s="10">
        <v>9</v>
      </c>
      <c r="C26" s="13">
        <f>'Data'!I33+C11</f>
        <v>137.75</v>
      </c>
      <c r="D26" s="14">
        <f>C26+D11</f>
        <v>130.8625</v>
      </c>
      <c r="E26" s="14">
        <f>D26+E11</f>
        <v>124.319375</v>
      </c>
      <c r="F26" s="14">
        <f>E26+F11</f>
        <v>118.10340625</v>
      </c>
    </row>
    <row r="27" ht="20.05" customHeight="1">
      <c r="B27" t="s" s="10">
        <v>12</v>
      </c>
      <c r="C27" s="13">
        <f>C14</f>
        <v>0</v>
      </c>
      <c r="D27" s="14">
        <f>D14+C27</f>
        <v>0</v>
      </c>
      <c r="E27" s="14">
        <f>E14+D27</f>
        <v>0</v>
      </c>
      <c r="F27" s="14">
        <f>F14+E27</f>
        <v>0</v>
      </c>
    </row>
    <row r="28" ht="20.05" customHeight="1">
      <c r="B28" t="s" s="10">
        <v>10</v>
      </c>
      <c r="C28" s="13">
        <f>'Data'!I34+C21+C12</f>
        <v>4030.263303503110</v>
      </c>
      <c r="D28" s="14">
        <f>C28+D21+D12</f>
        <v>4059.213673971180</v>
      </c>
      <c r="E28" s="14">
        <f>D28+E21+E12</f>
        <v>4089.0934555533</v>
      </c>
      <c r="F28" s="14">
        <f>E28+F21+F12</f>
        <v>4120.568726214520</v>
      </c>
    </row>
    <row r="29" ht="20.05" customHeight="1">
      <c r="B29" t="s" s="10">
        <v>24</v>
      </c>
      <c r="C29" s="13">
        <f>C26+C27+C28-C18-C23</f>
        <v>-138.899999999995</v>
      </c>
      <c r="D29" s="14">
        <f>D26+D27+D28-D18-D23</f>
        <v>-141.799999999999</v>
      </c>
      <c r="E29" s="14">
        <f>E26+E27+E28-E18-E23</f>
        <v>-144.699999999995</v>
      </c>
      <c r="F29" s="14">
        <f>F26+F27+F28-F18-F23</f>
        <v>-147.599999999997</v>
      </c>
    </row>
    <row r="30" ht="20.05" customHeight="1">
      <c r="B30" t="s" s="10">
        <v>25</v>
      </c>
      <c r="C30" s="13">
        <f>C18-C26-C27</f>
        <v>-33.536696496895</v>
      </c>
      <c r="D30" s="14">
        <f>D18-D26-D27</f>
        <v>-8.586326028821</v>
      </c>
      <c r="E30" s="14">
        <f>E18-E26-E27</f>
        <v>17.293455553295</v>
      </c>
      <c r="F30" s="14">
        <f>F18-F26-F27</f>
        <v>44.768726214517</v>
      </c>
    </row>
    <row r="31" ht="20.05" customHeight="1">
      <c r="B31" t="s" s="15">
        <v>26</v>
      </c>
      <c r="C31" s="13"/>
      <c r="D31" s="14"/>
      <c r="E31" s="14"/>
      <c r="F31" s="14"/>
    </row>
    <row r="32" ht="20.05" customHeight="1">
      <c r="B32" t="s" s="10">
        <v>27</v>
      </c>
      <c r="C32" s="13">
        <f>'Data'!I21-C15</f>
        <v>395.191415787045</v>
      </c>
      <c r="D32" s="14">
        <f>C32-D15</f>
        <v>414.486217416220</v>
      </c>
      <c r="E32" s="14">
        <f>D32-E15</f>
        <v>433.834963094270</v>
      </c>
      <c r="F32" s="14">
        <f>E32-F15</f>
        <v>453.540333556222</v>
      </c>
    </row>
    <row r="33" ht="20.05" customHeight="1">
      <c r="B33" t="s" s="10">
        <v>28</v>
      </c>
      <c r="C33" s="13"/>
      <c r="D33" s="14"/>
      <c r="E33" s="14"/>
      <c r="F33" s="14">
        <v>4670</v>
      </c>
    </row>
    <row r="34" ht="20.05" customHeight="1">
      <c r="B34" t="s" s="10">
        <v>29</v>
      </c>
      <c r="C34" s="13"/>
      <c r="D34" s="14"/>
      <c r="E34" s="14"/>
      <c r="F34" s="17">
        <f>F33/(F18+F23)</f>
        <v>1.0646854228299</v>
      </c>
    </row>
    <row r="35" ht="20.05" customHeight="1">
      <c r="B35" t="s" s="10">
        <v>30</v>
      </c>
      <c r="C35" s="13"/>
      <c r="D35" s="14"/>
      <c r="E35" s="14"/>
      <c r="F35" s="12">
        <f>-(C12+D12+E12+F12)/F33</f>
        <v>0.0109729635559362</v>
      </c>
    </row>
    <row r="36" ht="20.05" customHeight="1">
      <c r="B36" t="s" s="10">
        <v>2</v>
      </c>
      <c r="C36" s="13"/>
      <c r="D36" s="14"/>
      <c r="E36" s="14"/>
      <c r="F36" s="14">
        <f>SUM(C9:F10)</f>
        <v>154.812466020740</v>
      </c>
    </row>
    <row r="37" ht="20.05" customHeight="1">
      <c r="B37" t="s" s="10">
        <v>31</v>
      </c>
      <c r="C37" s="13"/>
      <c r="D37" s="14"/>
      <c r="E37" s="14"/>
      <c r="F37" s="14">
        <f>'Data'!I32/F36</f>
        <v>26.2239863775319</v>
      </c>
    </row>
    <row r="38" ht="20.05" customHeight="1">
      <c r="B38" t="s" s="10">
        <v>26</v>
      </c>
      <c r="C38" s="13"/>
      <c r="D38" s="14"/>
      <c r="E38" s="14"/>
      <c r="F38" s="14">
        <f>F33/F36</f>
        <v>30.1655294307783</v>
      </c>
    </row>
    <row r="39" ht="20.05" customHeight="1">
      <c r="B39" t="s" s="10">
        <v>32</v>
      </c>
      <c r="C39" s="13"/>
      <c r="D39" s="14"/>
      <c r="E39" s="14"/>
      <c r="F39" s="14">
        <v>22</v>
      </c>
    </row>
    <row r="40" ht="20.05" customHeight="1">
      <c r="B40" t="s" s="10">
        <v>33</v>
      </c>
      <c r="C40" s="13"/>
      <c r="D40" s="14"/>
      <c r="E40" s="14"/>
      <c r="F40" s="14">
        <f>F36*F39</f>
        <v>3405.874252456280</v>
      </c>
    </row>
    <row r="41" ht="20.05" customHeight="1">
      <c r="B41" t="s" s="10">
        <v>34</v>
      </c>
      <c r="C41" s="13"/>
      <c r="D41" s="14"/>
      <c r="E41" s="14"/>
      <c r="F41" s="14">
        <f>F33/F43</f>
        <v>7.07575757575758</v>
      </c>
    </row>
    <row r="42" ht="20.05" customHeight="1">
      <c r="B42" t="s" s="10">
        <v>35</v>
      </c>
      <c r="C42" s="13"/>
      <c r="D42" s="14"/>
      <c r="E42" s="14"/>
      <c r="F42" s="14">
        <f>F40/F41</f>
        <v>481.344112766840</v>
      </c>
    </row>
    <row r="43" ht="20.05" customHeight="1">
      <c r="B43" t="s" s="10">
        <v>36</v>
      </c>
      <c r="C43" s="13"/>
      <c r="D43" s="14"/>
      <c r="E43" s="14"/>
      <c r="F43" s="14">
        <f>'Data'!J38</f>
        <v>660</v>
      </c>
    </row>
    <row r="44" ht="20.05" customHeight="1">
      <c r="B44" t="s" s="10">
        <v>37</v>
      </c>
      <c r="C44" s="13"/>
      <c r="D44" s="14"/>
      <c r="E44" s="14"/>
      <c r="F44" s="12">
        <f>F42/F43-1</f>
        <v>-0.270690738232061</v>
      </c>
    </row>
    <row r="45" ht="20.05" customHeight="1">
      <c r="B45" t="s" s="10">
        <v>38</v>
      </c>
      <c r="C45" s="13"/>
      <c r="D45" s="14"/>
      <c r="E45" s="14"/>
      <c r="F45" s="12">
        <f>'Data'!I6/'Data'!E6-1</f>
        <v>0.571860816944024</v>
      </c>
    </row>
    <row r="46" ht="20.05" customHeight="1">
      <c r="B46" t="s" s="10">
        <v>39</v>
      </c>
      <c r="C46" s="13"/>
      <c r="D46" s="14"/>
      <c r="E46" s="14"/>
      <c r="F46" s="18">
        <f>'Data'!I7/'Data'!I6-1</f>
        <v>-0.00384985563041386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84375" style="19" customWidth="1"/>
    <col min="2" max="2" width="16.6797" style="19" customWidth="1"/>
    <col min="3" max="13" width="8.25" style="19" customWidth="1"/>
    <col min="14" max="16384" width="16.3516" style="19" customWidth="1"/>
  </cols>
  <sheetData>
    <row r="1" ht="46.15" customHeight="1"/>
    <row r="2" ht="27.65" customHeight="1">
      <c r="B2" t="s" s="2">
        <v>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customHeight="1">
      <c r="B3" t="s" s="3">
        <v>1</v>
      </c>
      <c r="C3" s="4">
        <v>2020</v>
      </c>
      <c r="D3" s="5"/>
      <c r="E3" s="5"/>
      <c r="F3" s="5"/>
      <c r="G3" s="4">
        <v>2021</v>
      </c>
      <c r="H3" s="5"/>
      <c r="I3" s="5"/>
      <c r="J3" s="5"/>
      <c r="K3" s="5"/>
      <c r="L3" s="5"/>
      <c r="M3" s="5"/>
    </row>
    <row r="4" ht="20.25" customHeight="1">
      <c r="B4" t="s" s="6">
        <v>2</v>
      </c>
      <c r="C4" s="20"/>
      <c r="D4" s="8"/>
      <c r="E4" s="8"/>
      <c r="F4" s="8"/>
      <c r="G4" s="8"/>
      <c r="H4" s="9"/>
      <c r="I4" s="8"/>
      <c r="J4" s="8"/>
      <c r="K4" s="8"/>
      <c r="L4" s="8"/>
      <c r="M4" s="8"/>
    </row>
    <row r="5" ht="20.05" customHeight="1">
      <c r="B5" t="s" s="10">
        <v>3</v>
      </c>
      <c r="C5" s="11"/>
      <c r="D5" s="12">
        <f>D6/C6-1</f>
        <v>0.0166666666666667</v>
      </c>
      <c r="E5" s="12">
        <f>E6/D6-1</f>
        <v>0.0836065573770492</v>
      </c>
      <c r="F5" s="12">
        <f>F6/E6-1</f>
        <v>-0.219364599092284</v>
      </c>
      <c r="G5" s="12">
        <f>G6/F6-1</f>
        <v>0.298449612403101</v>
      </c>
      <c r="H5" s="12">
        <f>H6/G6-1</f>
        <v>0.343283582089552</v>
      </c>
      <c r="I5" s="12">
        <f>I6/H6-1</f>
        <v>0.154444444444444</v>
      </c>
      <c r="J5" s="12"/>
      <c r="K5" s="12"/>
      <c r="L5" s="12"/>
      <c r="M5" s="12"/>
    </row>
    <row r="6" ht="20.05" customHeight="1">
      <c r="B6" t="s" s="10">
        <v>4</v>
      </c>
      <c r="C6" s="13">
        <v>60</v>
      </c>
      <c r="D6" s="14">
        <f>121-C6</f>
        <v>61</v>
      </c>
      <c r="E6" s="14">
        <f>187.1-D6-C6</f>
        <v>66.09999999999999</v>
      </c>
      <c r="F6" s="14">
        <f>238.7-E6-D6-C6</f>
        <v>51.6</v>
      </c>
      <c r="G6" s="14">
        <v>67</v>
      </c>
      <c r="H6" s="14">
        <f>157-G6</f>
        <v>90</v>
      </c>
      <c r="I6" s="14">
        <f>260.9-SUM(G6:H6)</f>
        <v>103.9</v>
      </c>
      <c r="J6" s="14"/>
      <c r="K6" s="14"/>
      <c r="L6" s="14"/>
      <c r="M6" s="14"/>
    </row>
    <row r="7" ht="20.05" customHeight="1">
      <c r="B7" t="s" s="10">
        <v>32</v>
      </c>
      <c r="C7" s="13"/>
      <c r="D7" s="14"/>
      <c r="E7" s="14"/>
      <c r="F7" s="14"/>
      <c r="G7" s="14"/>
      <c r="H7" s="14"/>
      <c r="I7" s="14">
        <v>103.5</v>
      </c>
      <c r="J7" s="14">
        <f>'Model'!C6</f>
        <v>119.485</v>
      </c>
      <c r="K7" s="14">
        <f>'Model'!D6</f>
        <v>118.29015</v>
      </c>
      <c r="L7" s="14">
        <f>'Model'!E6</f>
        <v>121.8388545</v>
      </c>
      <c r="M7" s="14">
        <f>'Model'!F6</f>
        <v>127.930797225</v>
      </c>
    </row>
    <row r="8" ht="20.05" customHeight="1">
      <c r="B8" t="s" s="10">
        <v>41</v>
      </c>
      <c r="C8" s="21">
        <v>60</v>
      </c>
      <c r="D8" s="14">
        <f>124-C8</f>
        <v>64</v>
      </c>
      <c r="E8" s="14">
        <f>187.1-D8-C8</f>
        <v>63.1</v>
      </c>
      <c r="F8" s="14">
        <f>240.1-E8-D8-C8</f>
        <v>53</v>
      </c>
      <c r="G8" s="14">
        <v>66</v>
      </c>
      <c r="H8" s="14">
        <f>156-G8</f>
        <v>90</v>
      </c>
      <c r="I8" s="14">
        <f>260.2-SUM(G8:H8)</f>
        <v>104.2</v>
      </c>
      <c r="J8" s="14"/>
      <c r="K8" s="14"/>
      <c r="L8" s="14"/>
      <c r="M8" s="14"/>
    </row>
    <row r="9" ht="20.05" customHeight="1">
      <c r="B9" t="s" s="10">
        <v>5</v>
      </c>
      <c r="C9" s="11">
        <f>(C28+C26-C6)/C6</f>
        <v>-0.844166666666667</v>
      </c>
      <c r="D9" s="12">
        <f>(D28+D26-D6)/D6</f>
        <v>-0.84344262295082</v>
      </c>
      <c r="E9" s="12">
        <f>(E28+E26-E6)/E6</f>
        <v>-0.867624810892587</v>
      </c>
      <c r="F9" s="12">
        <f>(F28+F26-F6)/F6</f>
        <v>-0.824612403100775</v>
      </c>
      <c r="G9" s="12">
        <f>(G28-G27+G26-G6)/G6</f>
        <v>-0.759701492537313</v>
      </c>
      <c r="H9" s="12">
        <f>(H28-H27+H26-H6)/H6</f>
        <v>-0.7</v>
      </c>
      <c r="I9" s="12">
        <f>(I28-I27+I26-I6)/I6</f>
        <v>-0.590952839268527</v>
      </c>
      <c r="J9" s="12">
        <f>'Model'!C7</f>
        <v>-0.62585496681466</v>
      </c>
      <c r="K9" s="12"/>
      <c r="L9" s="12"/>
      <c r="M9" s="12"/>
    </row>
    <row r="10" ht="20.05" customHeight="1">
      <c r="B10" t="s" s="10">
        <v>42</v>
      </c>
      <c r="C10" s="11"/>
      <c r="D10" s="12"/>
      <c r="E10" s="12">
        <f>AVERAGE(C11:E11)</f>
        <v>-0.727529769765804</v>
      </c>
      <c r="F10" s="12">
        <f>AVERAGE(D11:F11)</f>
        <v>-0.781628302260563</v>
      </c>
      <c r="G10" s="12">
        <f>AVERAGE(E11:G11)</f>
        <v>-0.792281711351472</v>
      </c>
      <c r="H10" s="12">
        <f>AVERAGE(F11:H11)</f>
        <v>-0.806337589733816</v>
      </c>
      <c r="I10" s="12">
        <f>AVERAGE(G11:I11)</f>
        <v>-0.62585496681466</v>
      </c>
      <c r="J10" s="12"/>
      <c r="K10" s="12"/>
      <c r="L10" s="12"/>
      <c r="M10" s="12"/>
    </row>
    <row r="11" ht="20.05" customHeight="1">
      <c r="B11" t="s" s="10">
        <v>42</v>
      </c>
      <c r="C11" s="11">
        <f>(C12-C8)/C8</f>
        <v>-0.7716666666666669</v>
      </c>
      <c r="D11" s="12">
        <f>(D12-D8)/D8</f>
        <v>-0.7453125</v>
      </c>
      <c r="E11" s="12">
        <f>(E12-E8)/E8</f>
        <v>-0.665610142630745</v>
      </c>
      <c r="F11" s="12">
        <f>(F12-F8)/F8</f>
        <v>-0.933962264150943</v>
      </c>
      <c r="G11" s="12">
        <f>(G12-G8)/G8</f>
        <v>-0.777272727272727</v>
      </c>
      <c r="H11" s="12">
        <f>(H12-H8)/H8</f>
        <v>-0.7077777777777779</v>
      </c>
      <c r="I11" s="12">
        <f>(I12-I8)/I8</f>
        <v>-0.392514395393474</v>
      </c>
      <c r="J11" s="12"/>
      <c r="K11" s="12"/>
      <c r="L11" s="12"/>
      <c r="M11" s="12"/>
    </row>
    <row r="12" ht="20.05" customHeight="1">
      <c r="B12" t="s" s="10">
        <v>7</v>
      </c>
      <c r="C12" s="13">
        <v>13.7</v>
      </c>
      <c r="D12" s="14">
        <f>30-C12</f>
        <v>16.3</v>
      </c>
      <c r="E12" s="14">
        <f>51.1-D12-C12</f>
        <v>21.1</v>
      </c>
      <c r="F12" s="14">
        <f>54.6-E12-D12-C12</f>
        <v>3.5</v>
      </c>
      <c r="G12" s="14">
        <v>14.7</v>
      </c>
      <c r="H12" s="14">
        <f>41-G12</f>
        <v>26.3</v>
      </c>
      <c r="I12" s="14">
        <f>104.3-SUM(G12:H12)</f>
        <v>63.3</v>
      </c>
      <c r="J12" s="14"/>
      <c r="K12" s="14"/>
      <c r="L12" s="14"/>
      <c r="M12" s="14"/>
    </row>
    <row r="13" ht="20.05" customHeight="1">
      <c r="B13" t="s" s="10">
        <v>8</v>
      </c>
      <c r="C13" s="13">
        <v>-4.1</v>
      </c>
      <c r="D13" s="14">
        <f>-9.4-C13</f>
        <v>-5.3</v>
      </c>
      <c r="E13" s="14">
        <f>276.5-D13-C13</f>
        <v>285.9</v>
      </c>
      <c r="F13" s="14">
        <f>264.3-E13-D13-C13</f>
        <v>-12.2</v>
      </c>
      <c r="G13" s="14">
        <v>-5.3</v>
      </c>
      <c r="H13" s="14">
        <f>-9.4-G13</f>
        <v>-4.1</v>
      </c>
      <c r="I13" s="14">
        <f>-16.3-SUM(G13:H13)</f>
        <v>-6.9</v>
      </c>
      <c r="J13" s="16"/>
      <c r="K13" s="16"/>
      <c r="L13" s="16"/>
      <c r="M13" s="16"/>
    </row>
    <row r="14" ht="20.05" customHeight="1">
      <c r="B14" t="s" s="10">
        <v>43</v>
      </c>
      <c r="C14" s="13">
        <f>SUM(C12:C13)</f>
        <v>9.6</v>
      </c>
      <c r="D14" s="14">
        <f>SUM(D12:D13)</f>
        <v>11</v>
      </c>
      <c r="E14" s="14">
        <f>SUM(E12:E13)</f>
        <v>307</v>
      </c>
      <c r="F14" s="14">
        <f>SUM(F12:F13)</f>
        <v>-8.699999999999999</v>
      </c>
      <c r="G14" s="14">
        <f>SUM(G12:G13)</f>
        <v>9.4</v>
      </c>
      <c r="H14" s="14">
        <f>SUM(H12:H13)</f>
        <v>22.2</v>
      </c>
      <c r="I14" s="14">
        <f>SUM(I12:I13)</f>
        <v>56.4</v>
      </c>
      <c r="J14" s="16"/>
      <c r="K14" s="14"/>
      <c r="L14" s="14"/>
      <c r="M14" s="14"/>
    </row>
    <row r="15" ht="20.05" customHeight="1">
      <c r="B15" t="s" s="10">
        <v>44</v>
      </c>
      <c r="C15" s="13"/>
      <c r="D15" s="14">
        <f>AVERAGE(B14:D14)</f>
        <v>10.3</v>
      </c>
      <c r="E15" s="14">
        <f>AVERAGE(C14:E14)</f>
        <v>109.2</v>
      </c>
      <c r="F15" s="14">
        <f>AVERAGE(D14:F14)</f>
        <v>103.1</v>
      </c>
      <c r="G15" s="14">
        <f>AVERAGE(E14:G14)</f>
        <v>102.566666666667</v>
      </c>
      <c r="H15" s="14">
        <f>AVERAGE(F14:H14)</f>
        <v>7.63333333333333</v>
      </c>
      <c r="I15" s="14">
        <f>AVERAGE(G14:I14)</f>
        <v>29.3333333333333</v>
      </c>
      <c r="J15" s="14">
        <f>SUM('Model'!F9:F10)</f>
        <v>40.9646723731746</v>
      </c>
      <c r="K15" s="14"/>
      <c r="L15" s="14"/>
      <c r="M15" s="14"/>
    </row>
    <row r="16" ht="20.05" customHeight="1">
      <c r="B16" t="s" s="10">
        <v>9</v>
      </c>
      <c r="C16" s="13">
        <v>-19.4</v>
      </c>
      <c r="D16" s="14">
        <f>-42-C16</f>
        <v>-22.6</v>
      </c>
      <c r="E16" s="14">
        <f>-64.6-D16-C16</f>
        <v>-22.6</v>
      </c>
      <c r="F16" s="14">
        <f>-87.2-E16-D16-C16</f>
        <v>-22.6</v>
      </c>
      <c r="G16" s="14">
        <v>-22.5</v>
      </c>
      <c r="H16" s="14">
        <f>-38.6-G16</f>
        <v>-16.1</v>
      </c>
      <c r="I16" s="14">
        <f>-54.7-SUM(G16:H16)</f>
        <v>-16.1</v>
      </c>
      <c r="J16" s="14"/>
      <c r="K16" s="14"/>
      <c r="L16" s="14"/>
      <c r="M16" s="14"/>
    </row>
    <row r="17" ht="20.05" customHeight="1">
      <c r="B17" t="s" s="10">
        <v>10</v>
      </c>
      <c r="C17" s="13"/>
      <c r="D17" s="14"/>
      <c r="E17" s="14"/>
      <c r="F17" s="14">
        <v>-233.5</v>
      </c>
      <c r="G17" s="14"/>
      <c r="H17" s="14"/>
      <c r="I17" s="14"/>
      <c r="J17" s="14"/>
      <c r="K17" s="14"/>
      <c r="L17" s="14"/>
      <c r="M17" s="14"/>
    </row>
    <row r="18" ht="20.05" customHeight="1">
      <c r="B18" t="s" s="10">
        <v>11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ht="20.05" customHeight="1">
      <c r="B19" t="s" s="10">
        <v>12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20.05" customHeight="1">
      <c r="B20" t="s" s="10">
        <v>13</v>
      </c>
      <c r="C20" s="13">
        <f>C16+C17</f>
        <v>-19.4</v>
      </c>
      <c r="D20" s="14">
        <f>D16+D17</f>
        <v>-22.6</v>
      </c>
      <c r="E20" s="14">
        <f>E16+E17</f>
        <v>-22.6</v>
      </c>
      <c r="F20" s="14">
        <f>F16+F17</f>
        <v>-256.1</v>
      </c>
      <c r="G20" s="14">
        <f>G16+G17</f>
        <v>-22.5</v>
      </c>
      <c r="H20" s="14">
        <f>H16+H17</f>
        <v>-16.1</v>
      </c>
      <c r="I20" s="14">
        <f>I16+I17</f>
        <v>-16.1</v>
      </c>
      <c r="J20" s="14"/>
      <c r="K20" s="14"/>
      <c r="L20" s="14"/>
      <c r="M20" s="14"/>
    </row>
    <row r="21" ht="20.05" customHeight="1">
      <c r="B21" t="s" s="10">
        <v>45</v>
      </c>
      <c r="C21" s="13">
        <f>-C20</f>
        <v>19.4</v>
      </c>
      <c r="D21" s="14">
        <f>-D20+C21</f>
        <v>42</v>
      </c>
      <c r="E21" s="14">
        <f>-E20+D21</f>
        <v>64.59999999999999</v>
      </c>
      <c r="F21" s="14">
        <f>-F20+E21</f>
        <v>320.7</v>
      </c>
      <c r="G21" s="14">
        <f>-G20+F21</f>
        <v>343.2</v>
      </c>
      <c r="H21" s="14">
        <f>-H20+G21</f>
        <v>359.3</v>
      </c>
      <c r="I21" s="14">
        <f>-I20+H21</f>
        <v>375.4</v>
      </c>
      <c r="J21" s="14">
        <f>'Model'!F32</f>
        <v>453.540333556222</v>
      </c>
      <c r="K21" s="14"/>
      <c r="L21" s="14"/>
      <c r="M21" s="14"/>
    </row>
    <row r="22" ht="20.05" customHeight="1">
      <c r="B22" t="s" s="10">
        <v>14</v>
      </c>
      <c r="C22" s="13">
        <v>54.7</v>
      </c>
      <c r="D22" s="14">
        <f>C24</f>
        <v>44.9</v>
      </c>
      <c r="E22" s="14">
        <f>D24</f>
        <v>33.3</v>
      </c>
      <c r="F22" s="14">
        <f>E24</f>
        <v>317.7</v>
      </c>
      <c r="G22" s="14">
        <f>F24</f>
        <v>52.9</v>
      </c>
      <c r="H22" s="14">
        <f>G24</f>
        <v>39.8</v>
      </c>
      <c r="I22" s="14">
        <f>H24</f>
        <v>45.9</v>
      </c>
      <c r="J22" s="14"/>
      <c r="K22" s="14"/>
      <c r="L22" s="14"/>
      <c r="M22" s="14"/>
    </row>
    <row r="23" ht="20.05" customHeight="1">
      <c r="B23" t="s" s="10">
        <v>15</v>
      </c>
      <c r="C23" s="13">
        <f>C12+C13+C20</f>
        <v>-9.800000000000001</v>
      </c>
      <c r="D23" s="14">
        <f>D12+D13+D20</f>
        <v>-11.6</v>
      </c>
      <c r="E23" s="14">
        <f>E12+E13+E20</f>
        <v>284.4</v>
      </c>
      <c r="F23" s="14">
        <f>F12+F13+F20</f>
        <v>-264.8</v>
      </c>
      <c r="G23" s="14">
        <f>G12+G13+G20</f>
        <v>-13.1</v>
      </c>
      <c r="H23" s="14">
        <f>H12+H13+H20</f>
        <v>6.1</v>
      </c>
      <c r="I23" s="14">
        <f>I12+I13+I20</f>
        <v>40.3</v>
      </c>
      <c r="J23" s="14"/>
      <c r="K23" s="14"/>
      <c r="L23" s="14"/>
      <c r="M23" s="14"/>
    </row>
    <row r="24" ht="20.05" customHeight="1">
      <c r="B24" t="s" s="10">
        <v>16</v>
      </c>
      <c r="C24" s="13">
        <f>C22+C23</f>
        <v>44.9</v>
      </c>
      <c r="D24" s="14">
        <f>D22+D23</f>
        <v>33.3</v>
      </c>
      <c r="E24" s="14">
        <f>E22+E23</f>
        <v>317.7</v>
      </c>
      <c r="F24" s="14">
        <f>F22+F23</f>
        <v>52.9</v>
      </c>
      <c r="G24" s="14">
        <f>G22+G23</f>
        <v>39.8</v>
      </c>
      <c r="H24" s="14">
        <f>H22+H23</f>
        <v>45.9</v>
      </c>
      <c r="I24" s="14">
        <f>I22+I23</f>
        <v>86.2</v>
      </c>
      <c r="J24" s="14"/>
      <c r="K24" s="14"/>
      <c r="L24" s="14"/>
      <c r="M24" s="14"/>
    </row>
    <row r="25" ht="20.05" customHeight="1">
      <c r="B25" t="s" s="15">
        <v>17</v>
      </c>
      <c r="C25" s="13"/>
      <c r="D25" s="14"/>
      <c r="E25" s="14"/>
      <c r="F25" s="14"/>
      <c r="G25" s="14"/>
      <c r="H25" s="16"/>
      <c r="I25" s="14"/>
      <c r="J25" s="14"/>
      <c r="K25" s="14"/>
      <c r="L25" s="14"/>
      <c r="M25" s="14"/>
    </row>
    <row r="26" ht="20.05" customHeight="1">
      <c r="B26" t="s" s="10">
        <v>18</v>
      </c>
      <c r="C26" s="13">
        <f>C31-114.7</f>
        <v>3.1</v>
      </c>
      <c r="D26" s="14">
        <f>D31-C31</f>
        <v>3.3</v>
      </c>
      <c r="E26" s="14">
        <f>E31-D31</f>
        <v>2.5</v>
      </c>
      <c r="F26" s="14">
        <f>F31-E31</f>
        <v>2.8</v>
      </c>
      <c r="G26" s="14">
        <f>G31-F31</f>
        <v>3.1</v>
      </c>
      <c r="H26" s="14">
        <f>H31-G31</f>
        <v>3.6</v>
      </c>
      <c r="I26" s="14">
        <f>9.6-SUM(G26:H26)</f>
        <v>2.9</v>
      </c>
      <c r="J26" s="14"/>
      <c r="K26" s="14"/>
      <c r="L26" s="14"/>
      <c r="M26" s="14"/>
    </row>
    <row r="27" ht="20.05" customHeight="1">
      <c r="B27" t="s" s="10">
        <v>46</v>
      </c>
      <c r="C27" s="13"/>
      <c r="D27" s="14"/>
      <c r="E27" s="14"/>
      <c r="F27" s="14"/>
      <c r="G27" s="14">
        <v>-377</v>
      </c>
      <c r="H27" s="14">
        <f>725.4-G27</f>
        <v>1102.4</v>
      </c>
      <c r="I27" s="14">
        <f>133-H27-G27</f>
        <v>-592.4</v>
      </c>
      <c r="J27" s="14"/>
      <c r="K27" s="14"/>
      <c r="L27" s="14"/>
      <c r="M27" s="14"/>
    </row>
    <row r="28" ht="20.05" customHeight="1">
      <c r="B28" t="s" s="10">
        <v>19</v>
      </c>
      <c r="C28" s="13">
        <v>6.25</v>
      </c>
      <c r="D28" s="14">
        <v>6.25</v>
      </c>
      <c r="E28" s="14">
        <v>6.25</v>
      </c>
      <c r="F28" s="14">
        <v>6.25</v>
      </c>
      <c r="G28" s="14">
        <v>-364</v>
      </c>
      <c r="H28" s="14">
        <f>761.8-G28</f>
        <v>1125.8</v>
      </c>
      <c r="I28" s="14">
        <f>209-SUM(G28:H28)</f>
        <v>-552.8</v>
      </c>
      <c r="J28" s="14"/>
      <c r="K28" s="14"/>
      <c r="L28" s="14"/>
      <c r="M28" s="14"/>
    </row>
    <row r="29" ht="20.05" customHeight="1">
      <c r="B29" t="s" s="15">
        <v>20</v>
      </c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ht="20.05" customHeight="1">
      <c r="B30" t="s" s="10">
        <v>47</v>
      </c>
      <c r="C30" s="13">
        <v>2239</v>
      </c>
      <c r="D30" s="14">
        <v>2771.8</v>
      </c>
      <c r="E30" s="14">
        <v>3157</v>
      </c>
      <c r="F30" s="14">
        <v>4043.6</v>
      </c>
      <c r="G30" s="14">
        <v>3570</v>
      </c>
      <c r="H30" s="14">
        <v>4687</v>
      </c>
      <c r="I30" s="14">
        <v>4146</v>
      </c>
      <c r="J30" s="14"/>
      <c r="K30" s="14"/>
      <c r="L30" s="14"/>
      <c r="M30" s="14"/>
    </row>
    <row r="31" ht="20.05" customHeight="1">
      <c r="B31" t="s" s="10">
        <v>22</v>
      </c>
      <c r="C31" s="13">
        <v>117.8</v>
      </c>
      <c r="D31" s="14">
        <v>121.1</v>
      </c>
      <c r="E31" s="14">
        <v>123.6</v>
      </c>
      <c r="F31" s="14">
        <v>126.4</v>
      </c>
      <c r="G31" s="14">
        <v>129.5</v>
      </c>
      <c r="H31" s="14">
        <v>133.1</v>
      </c>
      <c r="I31" s="14">
        <f>H31+I26</f>
        <v>136</v>
      </c>
      <c r="J31" s="14"/>
      <c r="K31" s="14"/>
      <c r="L31" s="14"/>
      <c r="M31" s="14"/>
    </row>
    <row r="32" ht="20.05" customHeight="1">
      <c r="B32" t="s" s="10">
        <v>21</v>
      </c>
      <c r="C32" s="13">
        <f>C30-C24</f>
        <v>2194.1</v>
      </c>
      <c r="D32" s="14">
        <f>D30-D24</f>
        <v>2738.5</v>
      </c>
      <c r="E32" s="14">
        <f>E30-E24</f>
        <v>2839.3</v>
      </c>
      <c r="F32" s="14">
        <f>F30-F24</f>
        <v>3990.7</v>
      </c>
      <c r="G32" s="14">
        <f>G30-G24</f>
        <v>3530.2</v>
      </c>
      <c r="H32" s="14">
        <f>H30-H24</f>
        <v>4641.1</v>
      </c>
      <c r="I32" s="14">
        <f>I30-I24</f>
        <v>4059.8</v>
      </c>
      <c r="J32" s="14">
        <f>J30-J24</f>
        <v>0</v>
      </c>
      <c r="K32" s="14">
        <f>K30-K24</f>
        <v>0</v>
      </c>
      <c r="L32" s="14">
        <f>L30-L24</f>
        <v>0</v>
      </c>
      <c r="M32" s="14">
        <f>M30-M24</f>
        <v>0</v>
      </c>
    </row>
    <row r="33" ht="20.05" customHeight="1">
      <c r="B33" t="s" s="10">
        <v>9</v>
      </c>
      <c r="C33" s="13">
        <v>237.6</v>
      </c>
      <c r="D33" s="14">
        <v>214.3</v>
      </c>
      <c r="E33" s="14">
        <v>200.1</v>
      </c>
      <c r="F33" s="14">
        <v>192.7</v>
      </c>
      <c r="G33" s="14">
        <v>141.6</v>
      </c>
      <c r="H33" s="14">
        <v>133</v>
      </c>
      <c r="I33" s="14">
        <f>145</f>
        <v>145</v>
      </c>
      <c r="J33" s="14"/>
      <c r="K33" s="14"/>
      <c r="L33" s="14"/>
      <c r="M33" s="14"/>
    </row>
    <row r="34" ht="20.05" customHeight="1">
      <c r="B34" t="s" s="10">
        <v>10</v>
      </c>
      <c r="C34" s="13">
        <v>2001.3</v>
      </c>
      <c r="D34" s="14">
        <v>2557.5</v>
      </c>
      <c r="E34" s="14">
        <v>2957</v>
      </c>
      <c r="F34" s="14">
        <v>3850.9</v>
      </c>
      <c r="G34" s="14">
        <v>3428</v>
      </c>
      <c r="H34" s="14">
        <v>4554</v>
      </c>
      <c r="I34" s="14">
        <f>4001</f>
        <v>4001</v>
      </c>
      <c r="J34" s="14"/>
      <c r="K34" s="14"/>
      <c r="L34" s="14"/>
      <c r="M34" s="14"/>
    </row>
    <row r="35" ht="20.05" customHeight="1">
      <c r="B35" t="s" s="10">
        <v>24</v>
      </c>
      <c r="C35" s="13">
        <f>C33+C34-C24-C32</f>
        <v>-0.1</v>
      </c>
      <c r="D35" s="14">
        <f>D33+D34-D24-D32</f>
        <v>0</v>
      </c>
      <c r="E35" s="14">
        <f>E33+E34-E24-E32</f>
        <v>0.1</v>
      </c>
      <c r="F35" s="14">
        <f>F33+F34-F24-F32</f>
        <v>0</v>
      </c>
      <c r="G35" s="14">
        <f>G33+G34-G24-G32</f>
        <v>-0.4</v>
      </c>
      <c r="H35" s="14">
        <f>H33+H34-H24-H32</f>
        <v>0</v>
      </c>
      <c r="I35" s="14">
        <f>I33+I34-I24-I32</f>
        <v>0</v>
      </c>
      <c r="J35" s="14"/>
      <c r="K35" s="14"/>
      <c r="L35" s="14"/>
      <c r="M35" s="14"/>
    </row>
    <row r="36" ht="20.05" customHeight="1">
      <c r="B36" t="s" s="10">
        <v>25</v>
      </c>
      <c r="C36" s="13">
        <f>C24-C33</f>
        <v>-192.7</v>
      </c>
      <c r="D36" s="14">
        <f>D24-D33</f>
        <v>-181</v>
      </c>
      <c r="E36" s="14">
        <f>E24-E33</f>
        <v>117.6</v>
      </c>
      <c r="F36" s="14">
        <f>F24-F33</f>
        <v>-139.8</v>
      </c>
      <c r="G36" s="14">
        <f>G24-G33</f>
        <v>-101.8</v>
      </c>
      <c r="H36" s="14">
        <f>H24-H33</f>
        <v>-87.09999999999999</v>
      </c>
      <c r="I36" s="14">
        <f>I24-I33</f>
        <v>-58.8</v>
      </c>
      <c r="J36" s="14"/>
      <c r="K36" s="14"/>
      <c r="L36" s="14"/>
      <c r="M36" s="14"/>
    </row>
    <row r="37" ht="20.05" customHeight="1">
      <c r="B37" t="s" s="10">
        <v>32</v>
      </c>
      <c r="C37" s="13"/>
      <c r="D37" s="14"/>
      <c r="E37" s="14"/>
      <c r="F37" s="14"/>
      <c r="G37" s="14"/>
      <c r="H37" s="14"/>
      <c r="I37" s="14">
        <f>I36</f>
        <v>-58.8</v>
      </c>
      <c r="J37" s="14">
        <f>'Model'!F30</f>
        <v>44.768726214517</v>
      </c>
      <c r="K37" s="14"/>
      <c r="L37" s="14"/>
      <c r="M37" s="14"/>
    </row>
    <row r="38" ht="20.05" customHeight="1">
      <c r="B38" t="s" s="10">
        <v>48</v>
      </c>
      <c r="C38" s="13">
        <v>168</v>
      </c>
      <c r="D38" s="14">
        <v>217</v>
      </c>
      <c r="E38" s="14">
        <v>321</v>
      </c>
      <c r="F38" s="14">
        <v>308</v>
      </c>
      <c r="G38" s="14">
        <v>324</v>
      </c>
      <c r="H38" s="14">
        <v>540</v>
      </c>
      <c r="I38" s="14">
        <v>482</v>
      </c>
      <c r="J38" s="14">
        <v>660</v>
      </c>
      <c r="K38" s="14"/>
      <c r="L38" s="14"/>
      <c r="M38" s="14"/>
    </row>
    <row r="39" ht="20.05" customHeight="1">
      <c r="B39" t="s" s="10">
        <v>49</v>
      </c>
      <c r="C39" s="13"/>
      <c r="D39" s="14"/>
      <c r="E39" s="14"/>
      <c r="F39" s="14"/>
      <c r="G39" s="14"/>
      <c r="H39" s="14"/>
      <c r="I39" s="14"/>
      <c r="J39" s="14">
        <f>J38</f>
        <v>660</v>
      </c>
      <c r="K39" s="14">
        <f>'Model'!F42</f>
        <v>481.344112766840</v>
      </c>
      <c r="L39" s="14"/>
      <c r="M39" s="14"/>
    </row>
  </sheetData>
  <mergeCells count="1">
    <mergeCell ref="B2:M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