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<sst xmlns="http://schemas.openxmlformats.org/spreadsheetml/2006/main" uniqueCount="58">
  <si>
    <t>Financial model</t>
  </si>
  <si>
    <t>$m</t>
  </si>
  <si>
    <t>4Q 2021</t>
  </si>
  <si>
    <t xml:space="preserve">Cashflow </t>
  </si>
  <si>
    <t>Growth</t>
  </si>
  <si>
    <t>Sales</t>
  </si>
  <si>
    <t xml:space="preserve">Cost ratio </t>
  </si>
  <si>
    <t>Cash costs</t>
  </si>
  <si>
    <t xml:space="preserve">Operating </t>
  </si>
  <si>
    <t xml:space="preserve">Investment </t>
  </si>
  <si>
    <t xml:space="preserve">Finance </t>
  </si>
  <si>
    <t xml:space="preserve">Liabilities </t>
  </si>
  <si>
    <t>Equity</t>
  </si>
  <si>
    <t xml:space="preserve">Before revolver </t>
  </si>
  <si>
    <t xml:space="preserve">Revolver </t>
  </si>
  <si>
    <t>Beginning</t>
  </si>
  <si>
    <t>Change</t>
  </si>
  <si>
    <t>Ending</t>
  </si>
  <si>
    <t xml:space="preserve">Profit </t>
  </si>
  <si>
    <t xml:space="preserve">Non cash costs </t>
  </si>
  <si>
    <t xml:space="preserve">Net profit </t>
  </si>
  <si>
    <t>Balance sheet</t>
  </si>
  <si>
    <t>Others assets</t>
  </si>
  <si>
    <t xml:space="preserve">Depreciation </t>
  </si>
  <si>
    <t>Net other assets</t>
  </si>
  <si>
    <t xml:space="preserve">Equity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</si>
  <si>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</si>
  <si>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</si>
  <si>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</si>
  <si>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</si>
  <si>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</si>
  <si>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</si>
  <si>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>Yield</t>
  </si>
  <si>
    <t>Cashflow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</si>
  <si>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</si>
  <si>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</si>
  <si>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</si>
  <si>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</si>
  <si>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</si>
  <si>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</si>
  <si>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 xml:space="preserve">V target </t>
  </si>
  <si>
    <t xml:space="preserve">12 month growth </t>
  </si>
  <si>
    <t xml:space="preserve">Sales forecasts </t>
  </si>
  <si>
    <t xml:space="preserve">Sales growth </t>
  </si>
  <si>
    <t xml:space="preserve">Cash cost ratio </t>
  </si>
  <si>
    <t>Net profit</t>
  </si>
  <si>
    <t xml:space="preserve">Non cash costs  </t>
  </si>
  <si>
    <t xml:space="preserve">Working capital </t>
  </si>
  <si>
    <t>Investment</t>
  </si>
  <si>
    <t>Finance</t>
  </si>
  <si>
    <t xml:space="preserve">Free cashflow </t>
  </si>
  <si>
    <t>Cash paid (raised)</t>
  </si>
  <si>
    <t>Cash</t>
  </si>
  <si>
    <t>Assets</t>
  </si>
  <si>
    <t>Other assets</t>
  </si>
  <si>
    <t>Share price</t>
  </si>
  <si>
    <t>$</t>
  </si>
  <si>
    <t>NFLX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</si>
</sst>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%"/>
    <numFmt numFmtId="60" formatCode="#,##0.0"/>
    <numFmt numFmtId="61" formatCode="#,##0.0%"/>
  </numFmts>
  <fonts count="5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8"/>
      <name val="Calibri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6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49" fontId="0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3" borderId="4" applyNumberFormat="1" applyFont="1" applyFill="0" applyBorder="1" applyAlignment="1" applyProtection="0">
      <alignment horizontal="right" vertical="top" wrapText="1"/>
    </xf>
    <xf numFmtId="3" fontId="3" borderId="4" applyNumberFormat="1" applyFont="1" applyFill="0" applyBorder="1" applyAlignment="1" applyProtection="0">
      <alignment horizontal="right" vertical="top" wrapText="1"/>
    </xf>
    <xf numFmtId="59" fontId="3" borderId="4" applyNumberFormat="1" applyFont="1" applyFill="0" applyBorder="1" applyAlignment="1" applyProtection="0">
      <alignment horizontal="right" vertical="top" wrapText="1"/>
    </xf>
    <xf numFmtId="0" fontId="2" fillId="4" borderId="5" applyNumberFormat="0" applyFont="1" applyFill="1" applyBorder="1" applyAlignment="1" applyProtection="0">
      <alignment vertical="top" wrapText="1"/>
    </xf>
    <xf numFmtId="38" fontId="3" borderId="7" applyNumberFormat="1" applyFont="1" applyFill="0" applyBorder="1" applyAlignment="1" applyProtection="0">
      <alignment horizontal="right" vertical="top" wrapText="1"/>
    </xf>
    <xf numFmtId="59" fontId="3" borderId="7" applyNumberFormat="1" applyFont="1" applyFill="0" applyBorder="1" applyAlignment="1" applyProtection="0">
      <alignment horizontal="right" vertical="top" wrapText="1"/>
    </xf>
    <xf numFmtId="0" fontId="2" fillId="4" borderId="5" applyNumberFormat="1" applyFont="1" applyFill="1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horizontal="right" vertical="top" wrapText="1"/>
    </xf>
    <xf numFmtId="38" fontId="0" borderId="7" applyNumberFormat="1" applyFont="1" applyFill="0" applyBorder="1" applyAlignment="1" applyProtection="0">
      <alignment horizontal="right"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horizontal="right" vertical="top" wrapText="1"/>
    </xf>
    <xf numFmtId="3" fontId="0" borderId="6" applyNumberFormat="1" applyFont="1" applyFill="0" applyBorder="1" applyAlignment="1" applyProtection="0">
      <alignment horizontal="right"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3" fontId="4" borderId="3" applyNumberFormat="1" applyFont="1" applyFill="0" applyBorder="1" applyAlignment="1" applyProtection="0">
      <alignment vertical="center" wrapText="1" readingOrder="1"/>
    </xf>
    <xf numFmtId="3" fontId="4" borderId="6" applyNumberFormat="1" applyFont="1" applyFill="0" applyBorder="1" applyAlignment="1" applyProtection="0">
      <alignment vertical="center" wrapText="1" readingOrder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740145</xdr:colOff>
      <xdr:row>2</xdr:row>
      <xdr:rowOff>54799</xdr:rowOff>
    </xdr:from>
    <xdr:to>
      <xdr:col>13</xdr:col>
      <xdr:colOff>308870</xdr:colOff>
      <xdr:row>45</xdr:row>
      <xdr:rowOff>65368</xdr:rowOff>
    </xdr:to>
    <xdr:pic>
      <xdr:nvPicPr>
        <xdr:cNvPr id="2" name="Image" descr="Image"/>
        <xdr:cNvPicPr>
          <a:picLocks noChangeAspect="0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020045" y="601534"/>
          <a:ext cx="8280926" cy="10964955"/>
        </a:xfrm>
        <a:prstGeom prst="rect">
          <a:avLst/>
        </a:prstGeom>
        <a:effectLst>
          <a:outerShdw sx="100000" sy="100000" kx="0" ky="0" algn="b" rotWithShape="0" blurRad="12700" dist="12700" dir="16200000">
            <a:srgbClr val="000000">
              <a:alpha val="25000"/>
            </a:srgbClr>
          </a:outerShdw>
          <a:reflection blurRad="0" stA="50000" stPos="0" endA="0" endPos="40000" dist="0" dir="5400000" fadeDir="5400000" sx="100000" sy="-100000" kx="0" ky="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.74219" style="1" customWidth="1"/>
    <col min="2" max="2" width="16.7656" style="1" customWidth="1"/>
    <col min="3" max="6" width="9.14062" style="1" customWidth="1"/>
    <col min="7" max="16384" width="16.3516" style="1" customWidth="1"/>
  </cols>
  <sheetData>
    <row r="1" ht="15.4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4">
        <v>2</v>
      </c>
      <c r="D3" s="5"/>
      <c r="E3" s="5"/>
      <c r="F3" s="5"/>
    </row>
    <row r="4" ht="20.25" customHeight="1">
      <c r="B4" t="s" s="6">
        <v>3</v>
      </c>
      <c r="C4" s="7">
        <f>AVERAGE('Sales'!E27:E30)</f>
        <v>0.0386910279226563</v>
      </c>
      <c r="D4" s="8"/>
      <c r="E4" s="8"/>
      <c r="F4" s="9">
        <f>AVERAGE(C5:F5)</f>
        <v>0.02</v>
      </c>
    </row>
    <row r="5" ht="20.05" customHeight="1">
      <c r="B5" t="s" s="10">
        <v>4</v>
      </c>
      <c r="C5" s="11">
        <v>0.02</v>
      </c>
      <c r="D5" s="12">
        <v>0.02</v>
      </c>
      <c r="E5" s="12">
        <v>0.02</v>
      </c>
      <c r="F5" s="12">
        <v>0.02</v>
      </c>
    </row>
    <row r="6" ht="20.05" customHeight="1">
      <c r="B6" t="s" s="10">
        <v>5</v>
      </c>
      <c r="C6" s="13">
        <f>'Sales'!C30*(1+C5)</f>
        <v>7633.68</v>
      </c>
      <c r="D6" s="14">
        <f>C6*(1+D5)</f>
        <v>7786.3536</v>
      </c>
      <c r="E6" s="14">
        <f>D6*(1+E5)</f>
        <v>7942.080672</v>
      </c>
      <c r="F6" s="14">
        <f>E6*(1+F5)</f>
        <v>8100.92228544</v>
      </c>
    </row>
    <row r="7" ht="20.05" customHeight="1">
      <c r="B7" t="s" s="10">
        <v>6</v>
      </c>
      <c r="C7" s="15">
        <f>AVERAGE('Sales'!F28)</f>
        <v>-0.860672902415189</v>
      </c>
      <c r="D7" s="16">
        <f>C7</f>
        <v>-0.860672902415189</v>
      </c>
      <c r="E7" s="16">
        <f>D7</f>
        <v>-0.860672902415189</v>
      </c>
      <c r="F7" s="16">
        <f>E7</f>
        <v>-0.860672902415189</v>
      </c>
    </row>
    <row r="8" ht="20.05" customHeight="1">
      <c r="B8" t="s" s="10">
        <v>7</v>
      </c>
      <c r="C8" s="17">
        <f>C6*C7</f>
        <v>-6570.101521708780</v>
      </c>
      <c r="D8" s="18">
        <f>D6*D7</f>
        <v>-6701.503552142960</v>
      </c>
      <c r="E8" s="18">
        <f>E6*E7</f>
        <v>-6835.533623185810</v>
      </c>
      <c r="F8" s="18">
        <f>F6*F7</f>
        <v>-6972.244295649530</v>
      </c>
    </row>
    <row r="9" ht="20.05" customHeight="1">
      <c r="B9" t="s" s="10">
        <v>8</v>
      </c>
      <c r="C9" s="17">
        <f>C6+C8</f>
        <v>1063.578478291220</v>
      </c>
      <c r="D9" s="18">
        <f>D6+D8</f>
        <v>1084.850047857040</v>
      </c>
      <c r="E9" s="18">
        <f>E6+E8</f>
        <v>1106.547048814190</v>
      </c>
      <c r="F9" s="18">
        <f>F6+F8</f>
        <v>1128.677989790470</v>
      </c>
    </row>
    <row r="10" ht="20.05" customHeight="1">
      <c r="B10" t="s" s="10">
        <v>9</v>
      </c>
      <c r="C10" s="17">
        <f>AVERAGE('Cashflow '!G29:G30)</f>
        <v>-149.8</v>
      </c>
      <c r="D10" s="18">
        <f>C10</f>
        <v>-149.8</v>
      </c>
      <c r="E10" s="18">
        <f>D10</f>
        <v>-149.8</v>
      </c>
      <c r="F10" s="18">
        <f>E10</f>
        <v>-149.8</v>
      </c>
    </row>
    <row r="11" ht="20.05" customHeight="1">
      <c r="B11" t="s" s="10">
        <v>10</v>
      </c>
      <c r="C11" s="17">
        <f>C12+C13+C15</f>
        <v>-913.778478291220</v>
      </c>
      <c r="D11" s="18">
        <f>D12+D13+D15</f>
        <v>-935.050047857040</v>
      </c>
      <c r="E11" s="18">
        <f>E12+E13+E15</f>
        <v>-956.747048814190</v>
      </c>
      <c r="F11" s="18">
        <f>F12+F13+F15</f>
        <v>-978.877989790470</v>
      </c>
    </row>
    <row r="12" ht="20.05" customHeight="1">
      <c r="B12" t="s" s="10">
        <v>11</v>
      </c>
      <c r="C12" s="17">
        <f>-'Balance sheet'!G30/20</f>
        <v>-1371.25</v>
      </c>
      <c r="D12" s="18">
        <f>-C26/20</f>
        <v>-1302.6875</v>
      </c>
      <c r="E12" s="18">
        <f>-D26/20</f>
        <v>-1237.553125</v>
      </c>
      <c r="F12" s="18">
        <f>-E26/20</f>
        <v>-1175.67546875</v>
      </c>
    </row>
    <row r="13" ht="20.05" customHeight="1">
      <c r="B13" t="s" s="10">
        <v>12</v>
      </c>
      <c r="C13" s="17">
        <f>IF(C21&gt;0,-C21*0.2,0)</f>
        <v>-415.415695658244</v>
      </c>
      <c r="D13" s="18">
        <f>IF(D21&gt;0,-D21*0.2,0)</f>
        <v>-419.670009571408</v>
      </c>
      <c r="E13" s="18">
        <f>IF(E21&gt;0,-E21*0.2,0)</f>
        <v>-424.009409762838</v>
      </c>
      <c r="F13" s="18">
        <f>IF(F21&gt;0,-F21*0.2,0)</f>
        <v>-428.435597958094</v>
      </c>
    </row>
    <row r="14" ht="20.05" customHeight="1">
      <c r="B14" t="s" s="10">
        <v>13</v>
      </c>
      <c r="C14" s="17">
        <f>C9+C10+C12+C13</f>
        <v>-872.887217367024</v>
      </c>
      <c r="D14" s="18">
        <f>D9+D10+D12+D13</f>
        <v>-787.3074617143679</v>
      </c>
      <c r="E14" s="18">
        <f>E9+E10+E12+E13</f>
        <v>-704.815485948648</v>
      </c>
      <c r="F14" s="18">
        <f>F9+F10+F12+F13</f>
        <v>-625.233076917624</v>
      </c>
    </row>
    <row r="15" ht="20.05" customHeight="1">
      <c r="B15" t="s" s="10">
        <v>14</v>
      </c>
      <c r="C15" s="17">
        <f>-MIN(0,C14)</f>
        <v>872.887217367024</v>
      </c>
      <c r="D15" s="18">
        <f>-MIN(C27,D14)</f>
        <v>787.3074617143679</v>
      </c>
      <c r="E15" s="18">
        <f>-MIN(D27,E14)</f>
        <v>704.815485948648</v>
      </c>
      <c r="F15" s="18">
        <f>-MIN(E27,F14)</f>
        <v>625.233076917624</v>
      </c>
    </row>
    <row r="16" ht="20.05" customHeight="1">
      <c r="B16" t="s" s="10">
        <v>15</v>
      </c>
      <c r="C16" s="17">
        <f>'Balance sheet'!C30</f>
        <v>7527</v>
      </c>
      <c r="D16" s="18">
        <f>C18</f>
        <v>7527</v>
      </c>
      <c r="E16" s="18">
        <f>D18</f>
        <v>7527</v>
      </c>
      <c r="F16" s="18">
        <f>E18</f>
        <v>7527</v>
      </c>
    </row>
    <row r="17" ht="20.05" customHeight="1">
      <c r="B17" t="s" s="10">
        <v>16</v>
      </c>
      <c r="C17" s="17">
        <f>C9+C10+C11</f>
        <v>0</v>
      </c>
      <c r="D17" s="18">
        <f>D9+D10+D11</f>
        <v>0</v>
      </c>
      <c r="E17" s="18">
        <f>E9+E10+E11</f>
        <v>0</v>
      </c>
      <c r="F17" s="18">
        <f>F9+F10+F11</f>
        <v>0</v>
      </c>
    </row>
    <row r="18" ht="20.05" customHeight="1">
      <c r="B18" t="s" s="10">
        <v>17</v>
      </c>
      <c r="C18" s="17">
        <f>C16+C17</f>
        <v>7527</v>
      </c>
      <c r="D18" s="18">
        <f>D16+D17</f>
        <v>7527</v>
      </c>
      <c r="E18" s="18">
        <f>E16+E17</f>
        <v>7527</v>
      </c>
      <c r="F18" s="18">
        <f>F16+F17</f>
        <v>7527</v>
      </c>
    </row>
    <row r="19" ht="20.05" customHeight="1">
      <c r="B19" t="s" s="19">
        <v>18</v>
      </c>
      <c r="C19" s="17"/>
      <c r="D19" s="18"/>
      <c r="E19" s="18"/>
      <c r="F19" s="20"/>
    </row>
    <row r="20" ht="20.05" customHeight="1">
      <c r="B20" t="s" s="10">
        <v>19</v>
      </c>
      <c r="C20" s="17">
        <f>-AVERAGE('Cashflow '!D27:D30)</f>
        <v>1013.5</v>
      </c>
      <c r="D20" s="18">
        <f>C20</f>
        <v>1013.5</v>
      </c>
      <c r="E20" s="18">
        <f>D20</f>
        <v>1013.5</v>
      </c>
      <c r="F20" s="18">
        <f>E20</f>
        <v>1013.5</v>
      </c>
    </row>
    <row r="21" ht="20.05" customHeight="1">
      <c r="B21" t="s" s="10">
        <v>20</v>
      </c>
      <c r="C21" s="17">
        <f>C6+C8+C20</f>
        <v>2077.078478291220</v>
      </c>
      <c r="D21" s="18">
        <f>D6+D8+D20</f>
        <v>2098.350047857040</v>
      </c>
      <c r="E21" s="18">
        <f>E6+E8+E20</f>
        <v>2120.047048814190</v>
      </c>
      <c r="F21" s="18">
        <f>F6+F8+F20</f>
        <v>2142.177989790470</v>
      </c>
    </row>
    <row r="22" ht="20.05" customHeight="1">
      <c r="B22" t="s" s="19">
        <v>21</v>
      </c>
      <c r="C22" s="17"/>
      <c r="D22" s="18"/>
      <c r="E22" s="18"/>
      <c r="F22" s="18"/>
    </row>
    <row r="23" ht="20.05" customHeight="1">
      <c r="B23" t="s" s="10">
        <v>22</v>
      </c>
      <c r="C23" s="17">
        <f>'Balance sheet'!F30+'Balance sheet'!E30-C10</f>
        <v>17348.256</v>
      </c>
      <c r="D23" s="18">
        <f>C23-D10</f>
        <v>17498.056</v>
      </c>
      <c r="E23" s="18">
        <f>D23-E10</f>
        <v>17647.856</v>
      </c>
      <c r="F23" s="18">
        <f>E23-F10</f>
        <v>17797.656</v>
      </c>
    </row>
    <row r="24" ht="20.05" customHeight="1">
      <c r="B24" t="s" s="10">
        <v>23</v>
      </c>
      <c r="C24" s="17">
        <f>'Balance sheet'!F30-C20</f>
        <v>-19028.044</v>
      </c>
      <c r="D24" s="18">
        <f>C24-D20</f>
        <v>-20041.544</v>
      </c>
      <c r="E24" s="18">
        <f>D24-E20</f>
        <v>-21055.044</v>
      </c>
      <c r="F24" s="18">
        <f>E24-F20</f>
        <v>-22068.544</v>
      </c>
    </row>
    <row r="25" ht="20.05" customHeight="1">
      <c r="B25" t="s" s="10">
        <v>24</v>
      </c>
      <c r="C25" s="17">
        <f>C23-C24</f>
        <v>36376.3</v>
      </c>
      <c r="D25" s="18">
        <f>D23-D24</f>
        <v>37539.6</v>
      </c>
      <c r="E25" s="18">
        <f>E23-E24</f>
        <v>38702.9</v>
      </c>
      <c r="F25" s="18">
        <f>F23-F24</f>
        <v>39866.2</v>
      </c>
    </row>
    <row r="26" ht="20.05" customHeight="1">
      <c r="B26" t="s" s="10">
        <v>11</v>
      </c>
      <c r="C26" s="17">
        <f>'Balance sheet'!G30+C12</f>
        <v>26053.75</v>
      </c>
      <c r="D26" s="18">
        <f>C26+D12</f>
        <v>24751.0625</v>
      </c>
      <c r="E26" s="18">
        <f>D26+E12</f>
        <v>23513.509375</v>
      </c>
      <c r="F26" s="18">
        <f>E26+F12</f>
        <v>22337.83390625</v>
      </c>
    </row>
    <row r="27" ht="20.05" customHeight="1">
      <c r="B27" t="s" s="10">
        <v>14</v>
      </c>
      <c r="C27" s="17">
        <f>C15</f>
        <v>872.887217367024</v>
      </c>
      <c r="D27" s="18">
        <f>C27+D15</f>
        <v>1660.194679081390</v>
      </c>
      <c r="E27" s="18">
        <f>D27+E15</f>
        <v>2365.010165030040</v>
      </c>
      <c r="F27" s="18">
        <f>E27+F15</f>
        <v>2990.243241947660</v>
      </c>
    </row>
    <row r="28" ht="20.05" customHeight="1">
      <c r="B28" t="s" s="10">
        <v>25</v>
      </c>
      <c r="C28" s="17">
        <f>'Balance sheet'!H30+C21+C13</f>
        <v>16976.662782633</v>
      </c>
      <c r="D28" s="18">
        <f>C28+D21+D13</f>
        <v>18655.3428209186</v>
      </c>
      <c r="E28" s="18">
        <f>D28+E21+E13</f>
        <v>20351.38045997</v>
      </c>
      <c r="F28" s="18">
        <f>E28+F21+F13</f>
        <v>22065.1228518024</v>
      </c>
    </row>
    <row r="29" ht="20.05" customHeight="1">
      <c r="B29" t="s" s="10">
        <v>26</v>
      </c>
      <c r="C29" s="17">
        <f>C26+C27+C28-C18-C25</f>
        <v>2.4e-11</v>
      </c>
      <c r="D29" s="18">
        <f>D26+D27+D28-D18-D25</f>
        <v>-9.999999999999999e-12</v>
      </c>
      <c r="E29" s="18">
        <f>E26+E27+E28-E18-E25</f>
        <v>4e-11</v>
      </c>
      <c r="F29" s="18">
        <f>F26+F27+F28-F18-F25</f>
        <v>6e-11</v>
      </c>
    </row>
    <row r="30" ht="20.05" customHeight="1">
      <c r="B30" t="s" s="10">
        <v>27</v>
      </c>
      <c r="C30" s="17">
        <f>C18-C26-C27</f>
        <v>-19399.637217367</v>
      </c>
      <c r="D30" s="18">
        <f>D18-D26-D27</f>
        <v>-18884.2571790814</v>
      </c>
      <c r="E30" s="18">
        <f>E18-E26-E27</f>
        <v>-18351.51954003</v>
      </c>
      <c r="F30" s="18">
        <f>F18-F26-F27</f>
        <v>-17801.0771481977</v>
      </c>
    </row>
    <row r="31" ht="20.05" customHeight="1">
      <c r="B31" t="s" s="19">
        <v>28</v>
      </c>
      <c r="C31" s="17"/>
      <c r="D31" s="18"/>
      <c r="E31" s="18"/>
      <c r="F31" s="18"/>
    </row>
    <row r="32" ht="20.05" customHeight="1">
      <c r="B32" t="s" s="10">
        <v>29</v>
      </c>
      <c r="C32" s="17">
        <f>'Cashflow '!K30-C11</f>
        <v>-13673.3665217088</v>
      </c>
      <c r="D32" s="18">
        <f>C32-D11</f>
        <v>-12738.3164738518</v>
      </c>
      <c r="E32" s="18">
        <f>D32-E11</f>
        <v>-11781.5694250376</v>
      </c>
      <c r="F32" s="18">
        <f>E32-F11</f>
        <v>-10802.6914352471</v>
      </c>
    </row>
    <row r="33" ht="20.05" customHeight="1">
      <c r="B33" t="s" s="10">
        <v>30</v>
      </c>
      <c r="C33" s="17"/>
      <c r="D33" s="18"/>
      <c r="E33" s="18"/>
      <c r="F33" s="18">
        <v>282800</v>
      </c>
    </row>
    <row r="34" ht="20.05" customHeight="1">
      <c r="B34" t="s" s="10">
        <v>31</v>
      </c>
      <c r="C34" s="17"/>
      <c r="D34" s="18"/>
      <c r="E34" s="18"/>
      <c r="F34" s="21">
        <f>F33/(F18+F25)</f>
        <v>5.96710076551066</v>
      </c>
    </row>
    <row r="35" ht="20.05" customHeight="1">
      <c r="B35" t="s" s="10">
        <v>32</v>
      </c>
      <c r="C35" s="17"/>
      <c r="D35" s="18"/>
      <c r="E35" s="18"/>
      <c r="F35" s="22">
        <f>-(C13+D13+E13+F13)/F33</f>
        <v>0.00596722317167816</v>
      </c>
    </row>
    <row r="36" ht="20.05" customHeight="1">
      <c r="B36" t="s" s="10">
        <v>33</v>
      </c>
      <c r="C36" s="17"/>
      <c r="D36" s="18"/>
      <c r="E36" s="18"/>
      <c r="F36" s="18">
        <f>SUM(C9:F10)</f>
        <v>3784.453564752920</v>
      </c>
    </row>
    <row r="37" ht="20.05" customHeight="1">
      <c r="B37" t="s" s="10">
        <v>34</v>
      </c>
      <c r="C37" s="17"/>
      <c r="D37" s="18"/>
      <c r="E37" s="18"/>
      <c r="F37" s="18">
        <f>'Balance sheet'!E30/F36</f>
        <v>9.304645808832641</v>
      </c>
    </row>
    <row r="38" ht="20.05" customHeight="1">
      <c r="B38" t="s" s="10">
        <v>28</v>
      </c>
      <c r="C38" s="17"/>
      <c r="D38" s="18"/>
      <c r="E38" s="18"/>
      <c r="F38" s="18">
        <f>F33/F36</f>
        <v>74.7267723493559</v>
      </c>
    </row>
    <row r="39" ht="20.05" customHeight="1">
      <c r="B39" t="s" s="23">
        <v>35</v>
      </c>
      <c r="C39" s="17"/>
      <c r="D39" s="18"/>
      <c r="E39" s="18"/>
      <c r="F39" s="18">
        <v>60</v>
      </c>
    </row>
    <row r="40" ht="20.05" customHeight="1">
      <c r="B40" t="s" s="10">
        <v>36</v>
      </c>
      <c r="C40" s="17"/>
      <c r="D40" s="18"/>
      <c r="E40" s="18"/>
      <c r="F40" s="18">
        <f>F36*F39</f>
        <v>227067.213885175</v>
      </c>
    </row>
    <row r="41" ht="20.05" customHeight="1">
      <c r="B41" t="s" s="10">
        <v>37</v>
      </c>
      <c r="C41" s="17"/>
      <c r="D41" s="18"/>
      <c r="E41" s="18"/>
      <c r="F41" s="18">
        <f>F33/F43</f>
        <v>442.566510172144</v>
      </c>
    </row>
    <row r="42" ht="20.05" customHeight="1">
      <c r="B42" t="s" s="10">
        <v>38</v>
      </c>
      <c r="C42" s="17"/>
      <c r="D42" s="18"/>
      <c r="E42" s="18"/>
      <c r="F42" s="18">
        <f>F40/F41</f>
        <v>513.069128969685</v>
      </c>
    </row>
    <row r="43" ht="20.05" customHeight="1">
      <c r="B43" t="s" s="10">
        <v>39</v>
      </c>
      <c r="C43" s="17"/>
      <c r="D43" s="18"/>
      <c r="E43" s="18"/>
      <c r="F43" s="18">
        <f>'Share price'!B96</f>
        <v>639</v>
      </c>
    </row>
    <row r="44" ht="20.05" customHeight="1">
      <c r="B44" t="s" s="10">
        <v>40</v>
      </c>
      <c r="C44" s="17"/>
      <c r="D44" s="18"/>
      <c r="E44" s="18"/>
      <c r="F44" s="16">
        <f>F42/F43-1</f>
        <v>-0.197074915540399</v>
      </c>
    </row>
    <row r="45" ht="20.05" customHeight="1">
      <c r="B45" t="s" s="10">
        <v>41</v>
      </c>
      <c r="C45" s="17"/>
      <c r="D45" s="18"/>
      <c r="E45" s="18"/>
      <c r="F45" s="16">
        <f>'Sales'!C30/'Sales'!C26-1</f>
        <v>0.16283405842138</v>
      </c>
    </row>
    <row r="46" ht="20.05" customHeight="1">
      <c r="B46" t="s" s="10">
        <v>42</v>
      </c>
      <c r="C46" s="17"/>
      <c r="D46" s="18"/>
      <c r="E46" s="18"/>
      <c r="F46" s="16">
        <f>('Sales'!D26+'Sales'!D27+'Sales'!D28+'Sales'!D29+'Sales'!D30)/('Sales'!C26+'Sales'!C27+'Sales'!C28+'Sales'!C29+'Sales'!C30)-1</f>
        <v>0.00378340699763324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B3:F3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88281" style="24" customWidth="1"/>
    <col min="2" max="2" width="8.89844" style="24" customWidth="1"/>
    <col min="3" max="3" width="11.8438" style="24" customWidth="1"/>
    <col min="4" max="4" width="14.4844" style="24" customWidth="1"/>
    <col min="5" max="6" width="11.8438" style="24" customWidth="1"/>
    <col min="7" max="16384" width="16.3516" style="24" customWidth="1"/>
  </cols>
  <sheetData>
    <row r="1" ht="29.2" customHeight="1"/>
    <row r="2" ht="27.65" customHeight="1">
      <c r="B2" t="s" s="2">
        <v>5</v>
      </c>
      <c r="C2" s="2"/>
      <c r="D2" s="2"/>
      <c r="E2" s="2"/>
      <c r="F2" s="2"/>
    </row>
    <row r="3" ht="32.25" customHeight="1">
      <c r="B3" t="s" s="4">
        <v>1</v>
      </c>
      <c r="C3" t="s" s="4">
        <v>5</v>
      </c>
      <c r="D3" t="s" s="4">
        <v>35</v>
      </c>
      <c r="E3" t="s" s="4">
        <v>43</v>
      </c>
      <c r="F3" t="s" s="4">
        <v>44</v>
      </c>
    </row>
    <row r="4" ht="20.25" customHeight="1">
      <c r="B4" s="25">
        <v>2015</v>
      </c>
      <c r="C4" s="26">
        <v>1573.129</v>
      </c>
      <c r="D4" s="27"/>
      <c r="E4" s="28"/>
      <c r="F4" s="29">
        <f>('Cashflow '!C4+'Cashflow '!D4-C4)/C4</f>
        <v>-1.13243033470237</v>
      </c>
    </row>
    <row r="5" ht="20.05" customHeight="1">
      <c r="B5" s="30"/>
      <c r="C5" s="13">
        <f>1644.694</f>
        <v>1644.694</v>
      </c>
      <c r="D5" s="31"/>
      <c r="E5" s="32">
        <f>C5/C4-1</f>
        <v>0.0454921370084717</v>
      </c>
      <c r="F5" s="32">
        <f>('Cashflow '!C5+'Cashflow '!D5-C5)/C5</f>
        <v>-1.12499650390893</v>
      </c>
    </row>
    <row r="6" ht="20.05" customHeight="1">
      <c r="B6" s="30"/>
      <c r="C6" s="13">
        <v>1738.355</v>
      </c>
      <c r="D6" s="31"/>
      <c r="E6" s="32">
        <f>C6/C5-1</f>
        <v>0.0569473713651293</v>
      </c>
      <c r="F6" s="32">
        <f>('Cashflow '!C6+'Cashflow '!D6-C6)/C6</f>
        <v>-1.16810778005643</v>
      </c>
    </row>
    <row r="7" ht="20.05" customHeight="1">
      <c r="B7" s="30"/>
      <c r="C7" s="13">
        <f>6779.511-SUM(C4:C6)</f>
        <v>1823.333</v>
      </c>
      <c r="D7" s="31"/>
      <c r="E7" s="32">
        <f>C7/C6-1</f>
        <v>0.0488841462186953</v>
      </c>
      <c r="F7" s="32">
        <f>('Cashflow '!C7+'Cashflow '!D7-C7)/C7</f>
        <v>-1.11856528675782</v>
      </c>
    </row>
    <row r="8" ht="20.05" customHeight="1">
      <c r="B8" s="33">
        <v>2016</v>
      </c>
      <c r="C8" s="13">
        <v>1957.736</v>
      </c>
      <c r="D8" s="31"/>
      <c r="E8" s="32">
        <f>C8/C7-1</f>
        <v>0.073712810550788</v>
      </c>
      <c r="F8" s="32">
        <f>('Cashflow '!C8+'Cashflow '!D8-C8)/C8</f>
        <v>-1.13392919167855</v>
      </c>
    </row>
    <row r="9" ht="20.05" customHeight="1">
      <c r="B9" s="30"/>
      <c r="C9" s="13">
        <v>2105.204</v>
      </c>
      <c r="D9" s="31"/>
      <c r="E9" s="32">
        <f>C9/C8-1</f>
        <v>0.0753257844775802</v>
      </c>
      <c r="F9" s="32">
        <f>('Cashflow '!C9+'Cashflow '!D9-C9)/C9</f>
        <v>-1.13487433996895</v>
      </c>
    </row>
    <row r="10" ht="20.05" customHeight="1">
      <c r="B10" s="30"/>
      <c r="C10" s="13">
        <v>2290.188</v>
      </c>
      <c r="D10" s="31"/>
      <c r="E10" s="32">
        <f>C10/C9-1</f>
        <v>0.0878698691433229</v>
      </c>
      <c r="F10" s="32">
        <f>('Cashflow '!C10+'Cashflow '!D10-C10)/C10</f>
        <v>-1.23933537334053</v>
      </c>
    </row>
    <row r="11" ht="20.05" customHeight="1">
      <c r="B11" s="30"/>
      <c r="C11" s="13">
        <f>8830.669-SUM(C8:C10)</f>
        <v>2477.541</v>
      </c>
      <c r="D11" s="31"/>
      <c r="E11" s="32">
        <f>C11/C10-1</f>
        <v>0.0818068210994032</v>
      </c>
      <c r="F11" s="32">
        <f>('Cashflow '!C11+'Cashflow '!D11-C11)/C11</f>
        <v>-1.23091646112012</v>
      </c>
    </row>
    <row r="12" ht="20.05" customHeight="1">
      <c r="B12" s="33">
        <v>2017</v>
      </c>
      <c r="C12" s="13">
        <v>2636.635</v>
      </c>
      <c r="D12" s="31"/>
      <c r="E12" s="32">
        <f>C12/C11-1</f>
        <v>0.0642144771771688</v>
      </c>
      <c r="F12" s="32">
        <f>('Cashflow '!C12+'Cashflow '!D12-C12)/C12</f>
        <v>-1.16121571624438</v>
      </c>
    </row>
    <row r="13" ht="20.05" customHeight="1">
      <c r="B13" s="30"/>
      <c r="C13" s="13">
        <v>2785.464</v>
      </c>
      <c r="D13" s="31"/>
      <c r="E13" s="32">
        <f>C13/C12-1</f>
        <v>0.0564465692065834</v>
      </c>
      <c r="F13" s="32">
        <f>('Cashflow '!C13+'Cashflow '!D13-C13)/C13</f>
        <v>-1.13731967097762</v>
      </c>
    </row>
    <row r="14" ht="20.05" customHeight="1">
      <c r="B14" s="30"/>
      <c r="C14" s="13">
        <v>2984.859</v>
      </c>
      <c r="D14" s="31"/>
      <c r="E14" s="32">
        <f>C14/C13-1</f>
        <v>0.0715841238658981</v>
      </c>
      <c r="F14" s="32">
        <f>('Cashflow '!C14+'Cashflow '!D14-C14)/C14</f>
        <v>-1.1669700310802</v>
      </c>
    </row>
    <row r="15" ht="20.05" customHeight="1">
      <c r="B15" s="30"/>
      <c r="C15" s="13">
        <v>3285.755</v>
      </c>
      <c r="D15" s="31"/>
      <c r="E15" s="32">
        <f>C15/C14-1</f>
        <v>0.10080744182556</v>
      </c>
      <c r="F15" s="32">
        <f>('Cashflow '!C15+'Cashflow '!D15-C15)/C15</f>
        <v>-1.14557384832405</v>
      </c>
    </row>
    <row r="16" ht="20.05" customHeight="1">
      <c r="B16" s="33">
        <v>2018</v>
      </c>
      <c r="C16" s="34">
        <v>3700.856</v>
      </c>
      <c r="D16" s="31"/>
      <c r="E16" s="32">
        <f>C16/C15-1</f>
        <v>0.126333521519407</v>
      </c>
      <c r="F16" s="32">
        <f>('Cashflow '!C16+'Cashflow '!D16-C16)/C16</f>
        <v>-1.11671624078321</v>
      </c>
    </row>
    <row r="17" ht="20.05" customHeight="1">
      <c r="B17" s="30"/>
      <c r="C17" s="34">
        <v>3907.27</v>
      </c>
      <c r="D17" s="31"/>
      <c r="E17" s="32">
        <f>C17/C16-1</f>
        <v>0.0557746640236745</v>
      </c>
      <c r="F17" s="32">
        <f>('Cashflow '!C17+'Cashflow '!D17-C17)/C17</f>
        <v>-1.13103445628278</v>
      </c>
    </row>
    <row r="18" ht="20.05" customHeight="1">
      <c r="B18" s="30"/>
      <c r="C18" s="34">
        <v>3999.374</v>
      </c>
      <c r="D18" s="31"/>
      <c r="E18" s="32">
        <f>C18/C17-1</f>
        <v>0.0235724687569582</v>
      </c>
      <c r="F18" s="32">
        <f>('Cashflow '!C18+'Cashflow '!D18-C18)/C18</f>
        <v>-1.19577363857444</v>
      </c>
    </row>
    <row r="19" ht="20.05" customHeight="1">
      <c r="B19" s="30"/>
      <c r="C19" s="34">
        <v>4186.841</v>
      </c>
      <c r="D19" s="31"/>
      <c r="E19" s="32">
        <f>C19/C18-1</f>
        <v>0.0468740857944268</v>
      </c>
      <c r="F19" s="32">
        <f>('Cashflow '!C19+'Cashflow '!D19-C19)/C19</f>
        <v>-1.29525912256998</v>
      </c>
    </row>
    <row r="20" ht="20.05" customHeight="1">
      <c r="B20" s="33">
        <v>2019</v>
      </c>
      <c r="C20" s="34">
        <v>4520.992</v>
      </c>
      <c r="D20" s="31"/>
      <c r="E20" s="32">
        <f>C20/C19-1</f>
        <v>0.0798098136518678</v>
      </c>
      <c r="F20" s="32">
        <f>('Cashflow '!C20+'Cashflow '!D20-C20)/C20</f>
        <v>-1.09383117687446</v>
      </c>
    </row>
    <row r="21" ht="20.05" customHeight="1">
      <c r="B21" s="30"/>
      <c r="C21" s="34">
        <v>4923.116</v>
      </c>
      <c r="D21" s="31"/>
      <c r="E21" s="32">
        <f>C21/C20-1</f>
        <v>0.0889459658411251</v>
      </c>
      <c r="F21" s="32">
        <f>('Cashflow '!C21+'Cashflow '!D21-C21)/C21</f>
        <v>-1.11133396003669</v>
      </c>
    </row>
    <row r="22" ht="20.05" customHeight="1">
      <c r="B22" s="30"/>
      <c r="C22" s="34">
        <v>5244.905</v>
      </c>
      <c r="D22" s="31"/>
      <c r="E22" s="32">
        <f>C22/C21-1</f>
        <v>0.065362871807205</v>
      </c>
      <c r="F22" s="32">
        <f>('Cashflow '!C22+'Cashflow '!D22-C22)/C22</f>
        <v>-1.13974971901302</v>
      </c>
    </row>
    <row r="23" ht="20.05" customHeight="1">
      <c r="B23" s="30"/>
      <c r="C23" s="34">
        <v>5467.434</v>
      </c>
      <c r="D23" s="31"/>
      <c r="E23" s="32">
        <f>C23/C22-1</f>
        <v>0.042427651215799</v>
      </c>
      <c r="F23" s="32">
        <f>('Cashflow '!C23+'Cashflow '!D23-C23)/C23</f>
        <v>-1.22406690231652</v>
      </c>
    </row>
    <row r="24" ht="20.05" customHeight="1">
      <c r="B24" s="33">
        <v>2020</v>
      </c>
      <c r="C24" s="34">
        <v>5767.691</v>
      </c>
      <c r="D24" s="31"/>
      <c r="E24" s="32">
        <f>C24/C23-1</f>
        <v>0.0549173524545518</v>
      </c>
      <c r="F24" s="32">
        <f>('Cashflow '!C24+'Cashflow '!D24-C24)/C24</f>
        <v>-0.947697440795632</v>
      </c>
    </row>
    <row r="25" ht="20.05" customHeight="1">
      <c r="B25" s="30"/>
      <c r="C25" s="34">
        <v>6148.286</v>
      </c>
      <c r="D25" s="14"/>
      <c r="E25" s="32">
        <f>C25/C24-1</f>
        <v>0.06598741160024001</v>
      </c>
      <c r="F25" s="32">
        <f>('Cashflow '!C25+'Cashflow '!D25-C25)/C25</f>
        <v>-0.79640146863695</v>
      </c>
    </row>
    <row r="26" ht="20.05" customHeight="1">
      <c r="B26" s="30"/>
      <c r="C26" s="34">
        <v>6436</v>
      </c>
      <c r="D26" s="35">
        <v>6455.7003</v>
      </c>
      <c r="E26" s="32">
        <f>C26/C25-1</f>
        <v>0.0467958061807795</v>
      </c>
      <c r="F26" s="32">
        <f>('Cashflow '!C26+'Cashflow '!D26-C26)/C26</f>
        <v>-0.8573472653822251</v>
      </c>
    </row>
    <row r="27" ht="20.05" customHeight="1">
      <c r="B27" s="30"/>
      <c r="C27" s="13">
        <v>6644</v>
      </c>
      <c r="D27" s="35">
        <v>6758</v>
      </c>
      <c r="E27" s="32">
        <f>C27/C26-1</f>
        <v>0.0323182100683654</v>
      </c>
      <c r="F27" s="32">
        <f>('Cashflow '!C27+'Cashflow '!D27-C27)/C27</f>
        <v>-1.00180614087899</v>
      </c>
    </row>
    <row r="28" ht="20.05" customHeight="1">
      <c r="B28" s="33">
        <v>2021</v>
      </c>
      <c r="C28" s="13">
        <v>7163</v>
      </c>
      <c r="D28" s="35">
        <v>6976.2</v>
      </c>
      <c r="E28" s="32">
        <f>C28/C27-1</f>
        <v>0.0781155930162553</v>
      </c>
      <c r="F28" s="32">
        <f>('Cashflow '!C28+'Cashflow '!D28-C28)/C28</f>
        <v>-0.860672902415189</v>
      </c>
    </row>
    <row r="29" ht="20.05" customHeight="1">
      <c r="B29" s="30"/>
      <c r="C29" s="34">
        <v>7342</v>
      </c>
      <c r="D29" s="35">
        <v>7449.52</v>
      </c>
      <c r="E29" s="32">
        <f>C29/C28-1</f>
        <v>0.0249895295267346</v>
      </c>
      <c r="F29" s="32">
        <f>('Cashflow '!C29+'Cashflow '!D29-C29)/C29</f>
        <v>-0.984609098338327</v>
      </c>
    </row>
    <row r="30" ht="20.05" customHeight="1">
      <c r="B30" s="30"/>
      <c r="C30" s="34">
        <v>7484</v>
      </c>
      <c r="D30" s="14">
        <v>7562.26</v>
      </c>
      <c r="E30" s="32">
        <f>C30/C29-1</f>
        <v>0.01934077907927</v>
      </c>
      <c r="F30" s="32">
        <f>('Cashflow '!C30+'Cashflow '!D30-C30)/C30</f>
        <v>-1.01362907536077</v>
      </c>
    </row>
    <row r="31" ht="20.05" customHeight="1">
      <c r="B31" s="30"/>
      <c r="C31" s="34"/>
      <c r="D31" s="14">
        <f>'Model'!C6</f>
        <v>7633.68</v>
      </c>
      <c r="E31" s="20"/>
      <c r="F31" s="16">
        <f>'Model'!C7</f>
        <v>-0.860672902415189</v>
      </c>
    </row>
    <row r="32" ht="20.05" customHeight="1">
      <c r="B32" s="33">
        <v>2022</v>
      </c>
      <c r="C32" s="34"/>
      <c r="D32" s="35">
        <f>'Model'!D6</f>
        <v>7786.3536</v>
      </c>
      <c r="E32" s="20"/>
      <c r="F32" s="20"/>
    </row>
    <row r="33" ht="20.05" customHeight="1">
      <c r="B33" s="30"/>
      <c r="C33" s="34"/>
      <c r="D33" s="35">
        <f>'Model'!E6</f>
        <v>7942.080672</v>
      </c>
      <c r="E33" s="20"/>
      <c r="F33" s="20"/>
    </row>
    <row r="34" ht="20.05" customHeight="1">
      <c r="B34" s="30"/>
      <c r="C34" s="34"/>
      <c r="D34" s="35">
        <f>'Model'!F6</f>
        <v>8100.92228544</v>
      </c>
      <c r="E34" s="20"/>
      <c r="F34" s="20"/>
    </row>
  </sheetData>
  <mergeCells count="1">
    <mergeCell ref="B2:F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85938" style="36" customWidth="1"/>
    <col min="2" max="2" width="8.71094" style="36" customWidth="1"/>
    <col min="3" max="11" width="10.3047" style="36" customWidth="1"/>
    <col min="12" max="16384" width="16.3516" style="36" customWidth="1"/>
  </cols>
  <sheetData>
    <row r="1" ht="31.05" customHeight="1"/>
    <row r="2" ht="27.65" customHeight="1">
      <c r="B2" t="s" s="2">
        <v>33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4">
        <v>1</v>
      </c>
      <c r="C3" t="s" s="4">
        <v>45</v>
      </c>
      <c r="D3" t="s" s="4">
        <v>46</v>
      </c>
      <c r="E3" t="s" s="4">
        <v>47</v>
      </c>
      <c r="F3" t="s" s="4">
        <v>8</v>
      </c>
      <c r="G3" t="s" s="4">
        <v>48</v>
      </c>
      <c r="H3" t="s" s="4">
        <v>49</v>
      </c>
      <c r="I3" t="s" s="4">
        <v>50</v>
      </c>
      <c r="J3" t="s" s="4">
        <v>33</v>
      </c>
      <c r="K3" t="s" s="4">
        <v>51</v>
      </c>
    </row>
    <row r="4" ht="20.25" customHeight="1">
      <c r="B4" s="25">
        <v>2015</v>
      </c>
      <c r="C4" s="37">
        <v>23.696</v>
      </c>
      <c r="D4" s="38">
        <v>-232.026</v>
      </c>
      <c r="E4" s="38">
        <f>F4-D4-C4</f>
        <v>80.94799999999999</v>
      </c>
      <c r="F4" s="38">
        <v>-127.382</v>
      </c>
      <c r="G4" s="38">
        <v>-42.822</v>
      </c>
      <c r="H4" s="38">
        <v>1522.434</v>
      </c>
      <c r="I4" s="38">
        <f>F4+G4</f>
        <v>-170.204</v>
      </c>
      <c r="J4" s="38"/>
      <c r="K4" s="38">
        <f>-H4</f>
        <v>-1522.434</v>
      </c>
    </row>
    <row r="5" ht="20.05" customHeight="1">
      <c r="B5" s="30"/>
      <c r="C5" s="17">
        <f>26.335</f>
        <v>26.335</v>
      </c>
      <c r="D5" s="18">
        <v>-231.916</v>
      </c>
      <c r="E5" s="18">
        <f>F5-D5-C5</f>
        <v>24.238</v>
      </c>
      <c r="F5" s="18">
        <v>-181.343</v>
      </c>
      <c r="G5" s="18">
        <v>-48.33</v>
      </c>
      <c r="H5" s="18">
        <v>62.547</v>
      </c>
      <c r="I5" s="18">
        <f>F5+G5</f>
        <v>-229.673</v>
      </c>
      <c r="J5" s="18"/>
      <c r="K5" s="18">
        <f>-H5+K4</f>
        <v>-1584.981</v>
      </c>
    </row>
    <row r="6" ht="20.05" customHeight="1">
      <c r="B6" s="30"/>
      <c r="C6" s="17">
        <v>29.432</v>
      </c>
      <c r="D6" s="18">
        <v>-321.663</v>
      </c>
      <c r="E6" s="18">
        <f>F6-D6-C6</f>
        <v>96.262</v>
      </c>
      <c r="F6" s="18">
        <v>-195.969</v>
      </c>
      <c r="G6" s="18">
        <v>-47.479</v>
      </c>
      <c r="H6" s="18">
        <v>72.754</v>
      </c>
      <c r="I6" s="18">
        <f>F6+G6</f>
        <v>-243.448</v>
      </c>
      <c r="J6" s="18"/>
      <c r="K6" s="18">
        <f>-H6+K5</f>
        <v>-1657.735</v>
      </c>
    </row>
    <row r="7" ht="20.05" customHeight="1">
      <c r="B7" s="30"/>
      <c r="C7" s="17">
        <f>122.641-SUM(C4:C6)</f>
        <v>43.178</v>
      </c>
      <c r="D7" s="18">
        <v>-259.362</v>
      </c>
      <c r="E7" s="18">
        <f>F7-D7-C7</f>
        <v>-28.561</v>
      </c>
      <c r="F7" s="18">
        <f>-749.439-SUM(F4:F6)</f>
        <v>-244.745</v>
      </c>
      <c r="G7" s="18">
        <f>-179.192-SUM(G4:G6)</f>
        <v>-40.561</v>
      </c>
      <c r="H7" s="18">
        <f>1640.277-SUM(H4:H6)</f>
        <v>-17.458</v>
      </c>
      <c r="I7" s="18">
        <f>F7+G7</f>
        <v>-285.306</v>
      </c>
      <c r="J7" s="18"/>
      <c r="K7" s="18">
        <f>-H7+K6</f>
        <v>-1640.277</v>
      </c>
    </row>
    <row r="8" ht="20.05" customHeight="1">
      <c r="B8" s="33">
        <v>2016</v>
      </c>
      <c r="C8" s="17">
        <v>27.658</v>
      </c>
      <c r="D8" s="18">
        <v>-289.856</v>
      </c>
      <c r="E8" s="18">
        <f>F8-D8-C8</f>
        <v>33.608</v>
      </c>
      <c r="F8" s="18">
        <v>-228.59</v>
      </c>
      <c r="G8" s="18">
        <v>4.263</v>
      </c>
      <c r="H8" s="18">
        <v>14.907</v>
      </c>
      <c r="I8" s="18">
        <f>F8+G8</f>
        <v>-224.327</v>
      </c>
      <c r="J8" s="18">
        <f>AVERAGE(I5:I8)</f>
        <v>-245.6885</v>
      </c>
      <c r="K8" s="18">
        <f>-H8+K7</f>
        <v>-1655.184</v>
      </c>
    </row>
    <row r="9" ht="20.05" customHeight="1">
      <c r="B9" s="30"/>
      <c r="C9" s="17">
        <v>40.75</v>
      </c>
      <c r="D9" s="18">
        <v>-324.688</v>
      </c>
      <c r="E9" s="18">
        <f>F9-D9-C9</f>
        <v>57.738</v>
      </c>
      <c r="F9" s="18">
        <v>-226.2</v>
      </c>
      <c r="G9" s="18">
        <v>-2.89</v>
      </c>
      <c r="H9" s="18">
        <v>17.6</v>
      </c>
      <c r="I9" s="18">
        <f>F9+G9</f>
        <v>-229.09</v>
      </c>
      <c r="J9" s="18">
        <f>AVERAGE(I6:I9)</f>
        <v>-245.54275</v>
      </c>
      <c r="K9" s="18">
        <f>-H9+K8</f>
        <v>-1672.784</v>
      </c>
    </row>
    <row r="10" ht="20.05" customHeight="1">
      <c r="B10" s="30"/>
      <c r="C10" s="17">
        <v>51.517</v>
      </c>
      <c r="D10" s="18">
        <v>-599.64</v>
      </c>
      <c r="E10" s="18">
        <f>F10-D10-C10</f>
        <v>86.182</v>
      </c>
      <c r="F10" s="18">
        <v>-461.941</v>
      </c>
      <c r="G10" s="18">
        <v>23.976</v>
      </c>
      <c r="H10" s="18">
        <v>16.639</v>
      </c>
      <c r="I10" s="18">
        <f>F10+G10</f>
        <v>-437.965</v>
      </c>
      <c r="J10" s="18">
        <f>AVERAGE(I7:I10)</f>
        <v>-294.172</v>
      </c>
      <c r="K10" s="18">
        <f>-H10+K9</f>
        <v>-1689.423</v>
      </c>
    </row>
    <row r="11" ht="20.05" customHeight="1">
      <c r="B11" s="30"/>
      <c r="C11" s="17">
        <f>186.678-SUM(C8:C10)</f>
        <v>66.753</v>
      </c>
      <c r="D11" s="18">
        <v>-638.8579999999999</v>
      </c>
      <c r="E11" s="18">
        <f>F11-D11-C11</f>
        <v>14.852</v>
      </c>
      <c r="F11" s="18">
        <f>-1473.984-SUM(F8:F10)</f>
        <v>-557.253</v>
      </c>
      <c r="G11" s="18">
        <f>49.765-SUM(G8:G10)</f>
        <v>24.416</v>
      </c>
      <c r="H11" s="18">
        <f>1091.63-SUM(H8:H10)</f>
        <v>1042.484</v>
      </c>
      <c r="I11" s="18">
        <f>F11+G11</f>
        <v>-532.837</v>
      </c>
      <c r="J11" s="18">
        <f>AVERAGE(I8:I11)</f>
        <v>-356.05475</v>
      </c>
      <c r="K11" s="18">
        <f>-H11+K10</f>
        <v>-2731.907</v>
      </c>
    </row>
    <row r="12" ht="20.05" customHeight="1">
      <c r="B12" s="33">
        <v>2017</v>
      </c>
      <c r="C12" s="17">
        <v>178.222</v>
      </c>
      <c r="D12" s="18">
        <v>-603.289</v>
      </c>
      <c r="E12" s="18">
        <f>F12-D12-C12</f>
        <v>81.211</v>
      </c>
      <c r="F12" s="18">
        <v>-343.856</v>
      </c>
      <c r="G12" s="18">
        <v>-75.59</v>
      </c>
      <c r="H12" s="18">
        <v>24.239</v>
      </c>
      <c r="I12" s="18">
        <f>F12+G12</f>
        <v>-419.446</v>
      </c>
      <c r="J12" s="18">
        <f>AVERAGE(I9:I12)</f>
        <v>-404.8345</v>
      </c>
      <c r="K12" s="18">
        <f>-H12+K11</f>
        <v>-2756.146</v>
      </c>
    </row>
    <row r="13" ht="20.05" customHeight="1">
      <c r="B13" s="30"/>
      <c r="C13" s="17">
        <v>65.59999999999999</v>
      </c>
      <c r="D13" s="18">
        <v>-448.099</v>
      </c>
      <c r="E13" s="18">
        <f>F13-D13-C13</f>
        <v>-152.029</v>
      </c>
      <c r="F13" s="18">
        <v>-534.528</v>
      </c>
      <c r="G13" s="18">
        <v>-56.432</v>
      </c>
      <c r="H13" s="18">
        <v>1420.386</v>
      </c>
      <c r="I13" s="18">
        <f>F13+G13</f>
        <v>-590.96</v>
      </c>
      <c r="J13" s="18">
        <f>AVERAGE(I10:I13)</f>
        <v>-495.302</v>
      </c>
      <c r="K13" s="18">
        <f>-H13+K12</f>
        <v>-4176.532</v>
      </c>
    </row>
    <row r="14" ht="20.05" customHeight="1">
      <c r="B14" s="30"/>
      <c r="C14" s="17">
        <v>129.59</v>
      </c>
      <c r="D14" s="18">
        <v>-627.972</v>
      </c>
      <c r="E14" s="18">
        <f>F14-D14-C14</f>
        <v>78.77500000000001</v>
      </c>
      <c r="F14" s="18">
        <v>-419.607</v>
      </c>
      <c r="G14" s="18">
        <v>202.192</v>
      </c>
      <c r="H14" s="18">
        <v>34.422</v>
      </c>
      <c r="I14" s="18">
        <f>F14+G14</f>
        <v>-217.415</v>
      </c>
      <c r="J14" s="18">
        <f>AVERAGE(I11:I14)</f>
        <v>-440.1645</v>
      </c>
      <c r="K14" s="18">
        <f>-H14+K13</f>
        <v>-4210.954</v>
      </c>
    </row>
    <row r="15" ht="20.05" customHeight="1">
      <c r="B15" s="30"/>
      <c r="C15" s="17">
        <v>185.517</v>
      </c>
      <c r="D15" s="18">
        <v>-663.837</v>
      </c>
      <c r="E15" s="18">
        <f>F15-D15-C15</f>
        <v>-9.637</v>
      </c>
      <c r="F15" s="18">
        <v>-487.957</v>
      </c>
      <c r="G15" s="18">
        <v>-35.841</v>
      </c>
      <c r="H15" s="18">
        <f>3076.99-SUM(H12:H14)</f>
        <v>1597.943</v>
      </c>
      <c r="I15" s="18">
        <f>F15+G15</f>
        <v>-523.798</v>
      </c>
      <c r="J15" s="18">
        <f>AVERAGE(I12:I15)</f>
        <v>-437.90475</v>
      </c>
      <c r="K15" s="18">
        <f>-H15+K14</f>
        <v>-5808.897</v>
      </c>
    </row>
    <row r="16" ht="20.05" customHeight="1">
      <c r="B16" s="33">
        <v>2018</v>
      </c>
      <c r="C16" s="17">
        <v>290.124</v>
      </c>
      <c r="D16" s="18">
        <v>-722.074</v>
      </c>
      <c r="E16" s="18">
        <f>F16-D16-C16</f>
        <v>195.193</v>
      </c>
      <c r="F16" s="18">
        <v>-236.757</v>
      </c>
      <c r="G16" s="18">
        <v>-49.752</v>
      </c>
      <c r="H16" s="18">
        <v>56.014</v>
      </c>
      <c r="I16" s="18">
        <f>F16+G16</f>
        <v>-286.509</v>
      </c>
      <c r="J16" s="18">
        <f>AVERAGE(I13:I16)</f>
        <v>-404.6705</v>
      </c>
      <c r="K16" s="18">
        <f>-H16+K15</f>
        <v>-5864.911</v>
      </c>
    </row>
    <row r="17" ht="20.05" customHeight="1">
      <c r="B17" s="30"/>
      <c r="C17" s="17">
        <v>384.349</v>
      </c>
      <c r="D17" s="18">
        <v>-896.336</v>
      </c>
      <c r="E17" s="18">
        <f>F17-D17-C17</f>
        <v>-6.252</v>
      </c>
      <c r="F17" s="18">
        <v>-518.239</v>
      </c>
      <c r="G17" s="18">
        <v>-40.316</v>
      </c>
      <c r="H17" s="18">
        <v>1909.412</v>
      </c>
      <c r="I17" s="18">
        <f>F17+G17</f>
        <v>-558.5549999999999</v>
      </c>
      <c r="J17" s="18">
        <f>AVERAGE(I14:I17)</f>
        <v>-396.56925</v>
      </c>
      <c r="K17" s="18">
        <f>-H17+K16</f>
        <v>-7774.323</v>
      </c>
    </row>
    <row r="18" ht="20.05" customHeight="1">
      <c r="B18" s="30"/>
      <c r="C18" s="17">
        <v>402.835</v>
      </c>
      <c r="D18" s="18">
        <v>-1185.807</v>
      </c>
      <c r="E18" s="18">
        <f>F18-D18-C18</f>
        <v>92.56100000000001</v>
      </c>
      <c r="F18" s="18">
        <v>-690.4109999999999</v>
      </c>
      <c r="G18" s="18">
        <v>-168.694</v>
      </c>
      <c r="H18" s="18">
        <v>29.237</v>
      </c>
      <c r="I18" s="18">
        <f>F18+G18</f>
        <v>-859.105</v>
      </c>
      <c r="J18" s="18">
        <f>AVERAGE(I15:I18)</f>
        <v>-556.99175</v>
      </c>
      <c r="K18" s="18">
        <f>-H18+K17</f>
        <v>-7803.56</v>
      </c>
    </row>
    <row r="19" ht="20.05" customHeight="1">
      <c r="B19" s="30"/>
      <c r="C19" s="17">
        <v>133.934</v>
      </c>
      <c r="D19" s="18">
        <v>-1370.137</v>
      </c>
      <c r="E19" s="18">
        <f>F19-D19-C19</f>
        <v>1.131</v>
      </c>
      <c r="F19" s="18">
        <v>-1235.072</v>
      </c>
      <c r="G19" s="18">
        <v>-80.358</v>
      </c>
      <c r="H19" s="18">
        <v>2053.864</v>
      </c>
      <c r="I19" s="18">
        <f>F19+G19</f>
        <v>-1315.43</v>
      </c>
      <c r="J19" s="18">
        <f>AVERAGE(I16:I19)</f>
        <v>-754.89975</v>
      </c>
      <c r="K19" s="18">
        <f>-H19+K18</f>
        <v>-9857.424000000001</v>
      </c>
    </row>
    <row r="20" ht="20.05" customHeight="1">
      <c r="B20" s="33">
        <v>2019</v>
      </c>
      <c r="C20" s="17">
        <v>344.052</v>
      </c>
      <c r="D20" s="18">
        <v>-768.2619999999999</v>
      </c>
      <c r="E20" s="18">
        <f>F20-D20-C20</f>
        <v>44.411</v>
      </c>
      <c r="F20" s="18">
        <v>-379.799</v>
      </c>
      <c r="G20" s="18">
        <v>-80.10299999999999</v>
      </c>
      <c r="H20" s="18">
        <v>22.972</v>
      </c>
      <c r="I20" s="18">
        <f>F20+G20</f>
        <v>-459.902</v>
      </c>
      <c r="J20" s="18">
        <f>AVERAGE(I17:I20)</f>
        <v>-798.248</v>
      </c>
      <c r="K20" s="18">
        <f>-H20+K19</f>
        <v>-9880.396000000001</v>
      </c>
    </row>
    <row r="21" ht="20.05" customHeight="1">
      <c r="B21" s="30"/>
      <c r="C21" s="17">
        <v>270.65</v>
      </c>
      <c r="D21" s="18">
        <v>-818.76</v>
      </c>
      <c r="E21" s="18">
        <f>F21-D21-C21</f>
        <v>4.356</v>
      </c>
      <c r="F21" s="18">
        <v>-543.754</v>
      </c>
      <c r="G21" s="18">
        <v>-50.036</v>
      </c>
      <c r="H21" s="18">
        <v>2246.9</v>
      </c>
      <c r="I21" s="18">
        <f>F21+G21</f>
        <v>-593.79</v>
      </c>
      <c r="J21" s="18">
        <f>AVERAGE(I18:I21)</f>
        <v>-807.05675</v>
      </c>
      <c r="K21" s="18">
        <f>-H21+K20</f>
        <v>-12127.296</v>
      </c>
    </row>
    <row r="22" ht="20.05" customHeight="1">
      <c r="B22" s="30"/>
      <c r="C22" s="17">
        <v>665.244</v>
      </c>
      <c r="D22" s="18">
        <v>-1398.218</v>
      </c>
      <c r="E22" s="18">
        <f>F22-D22-C22</f>
        <v>231.18</v>
      </c>
      <c r="F22" s="18">
        <v>-501.794</v>
      </c>
      <c r="G22" s="18">
        <v>-49.354</v>
      </c>
      <c r="H22" s="18">
        <v>11.989</v>
      </c>
      <c r="I22" s="18">
        <f>F22+G22</f>
        <v>-551.148</v>
      </c>
      <c r="J22" s="18">
        <f>AVERAGE(I19:I22)</f>
        <v>-730.0675</v>
      </c>
      <c r="K22" s="18">
        <f>-H22+K21</f>
        <v>-12139.285</v>
      </c>
    </row>
    <row r="23" ht="20.05" customHeight="1">
      <c r="B23" s="30"/>
      <c r="C23" s="17">
        <v>586.97</v>
      </c>
      <c r="D23" s="18">
        <v>-1812.041</v>
      </c>
      <c r="E23" s="18">
        <f>F23-D23-C23</f>
        <v>-236.904</v>
      </c>
      <c r="F23" s="18">
        <v>-1461.975</v>
      </c>
      <c r="G23" s="18">
        <v>-207.571</v>
      </c>
      <c r="H23" s="18">
        <v>2223.801</v>
      </c>
      <c r="I23" s="18">
        <f>F23+G23</f>
        <v>-1669.546</v>
      </c>
      <c r="J23" s="18">
        <f>AVERAGE(I20:I23)</f>
        <v>-818.5965</v>
      </c>
      <c r="K23" s="18">
        <f>-H23+K22</f>
        <v>-14363.086</v>
      </c>
    </row>
    <row r="24" ht="20.05" customHeight="1">
      <c r="B24" s="33">
        <v>2020</v>
      </c>
      <c r="C24" s="17">
        <v>709.067</v>
      </c>
      <c r="D24" s="18">
        <v>-407.402</v>
      </c>
      <c r="E24" s="18">
        <f>F24-D24-C24</f>
        <v>-41.753</v>
      </c>
      <c r="F24" s="18">
        <v>259.912</v>
      </c>
      <c r="G24" s="18">
        <v>-98.303</v>
      </c>
      <c r="H24" s="18">
        <v>43.694</v>
      </c>
      <c r="I24" s="18">
        <f>F24+G24</f>
        <v>161.609</v>
      </c>
      <c r="J24" s="18">
        <f>AVERAGE(I21:I24)</f>
        <v>-663.21875</v>
      </c>
      <c r="K24" s="18">
        <f>-H24+K23</f>
        <v>-14406.78</v>
      </c>
    </row>
    <row r="25" ht="20.05" customHeight="1">
      <c r="B25" s="30"/>
      <c r="C25" s="17">
        <v>720.196</v>
      </c>
      <c r="D25" s="18">
        <v>531.586</v>
      </c>
      <c r="E25" s="18">
        <f>F25-D25-C25</f>
        <v>-210.706</v>
      </c>
      <c r="F25" s="18">
        <v>1041.076</v>
      </c>
      <c r="G25" s="18">
        <v>-142.001</v>
      </c>
      <c r="H25" s="18">
        <v>1090.965</v>
      </c>
      <c r="I25" s="18">
        <f>F25+G25</f>
        <v>899.075</v>
      </c>
      <c r="J25" s="18">
        <f>AVERAGE(I22:I25)</f>
        <v>-290.0025</v>
      </c>
      <c r="K25" s="18">
        <f>-H25+K24</f>
        <v>-15497.745</v>
      </c>
    </row>
    <row r="26" ht="20.05" customHeight="1">
      <c r="B26" s="30"/>
      <c r="C26" s="17">
        <v>790</v>
      </c>
      <c r="D26" s="18">
        <v>128.113</v>
      </c>
      <c r="E26" s="18">
        <f>F26-D26-C26</f>
        <v>345.887</v>
      </c>
      <c r="F26" s="18">
        <v>1264</v>
      </c>
      <c r="G26" s="18">
        <v>-119</v>
      </c>
      <c r="H26" s="18">
        <v>69</v>
      </c>
      <c r="I26" s="18">
        <f>F26+G26</f>
        <v>1145</v>
      </c>
      <c r="J26" s="18">
        <f>AVERAGE(I23:I26)</f>
        <v>134.0345</v>
      </c>
      <c r="K26" s="18">
        <f>-H26+K25</f>
        <v>-15566.745</v>
      </c>
    </row>
    <row r="27" ht="20.05" customHeight="1">
      <c r="B27" s="30"/>
      <c r="C27" s="17">
        <v>542</v>
      </c>
      <c r="D27" s="18">
        <v>-554</v>
      </c>
      <c r="E27" s="18">
        <f>F27-D27-C27</f>
        <v>-126</v>
      </c>
      <c r="F27" s="18">
        <v>-138</v>
      </c>
      <c r="G27" s="18">
        <v>-146</v>
      </c>
      <c r="H27" s="18">
        <v>34</v>
      </c>
      <c r="I27" s="18">
        <f>F27+G27</f>
        <v>-284</v>
      </c>
      <c r="J27" s="18">
        <f>AVERAGE(I24:I27)</f>
        <v>480.421</v>
      </c>
      <c r="K27" s="18">
        <f>-H27+K26</f>
        <v>-15600.745</v>
      </c>
    </row>
    <row r="28" ht="20.05" customHeight="1">
      <c r="B28" s="33">
        <v>2021</v>
      </c>
      <c r="C28" s="17">
        <v>1707</v>
      </c>
      <c r="D28" s="18">
        <v>-709</v>
      </c>
      <c r="E28" s="18">
        <f>F28-D28-C28</f>
        <v>-221</v>
      </c>
      <c r="F28" s="18">
        <v>777</v>
      </c>
      <c r="G28" s="18">
        <v>-85</v>
      </c>
      <c r="H28" s="18">
        <v>-452</v>
      </c>
      <c r="I28" s="18">
        <f>F28+G28</f>
        <v>692</v>
      </c>
      <c r="J28" s="18">
        <f>AVERAGE(I25:I28)</f>
        <v>613.01875</v>
      </c>
      <c r="K28" s="18">
        <f>-H28+K27</f>
        <v>-15148.745</v>
      </c>
    </row>
    <row r="29" ht="20.05" customHeight="1">
      <c r="B29" s="30"/>
      <c r="C29" s="17">
        <v>1353</v>
      </c>
      <c r="D29" s="18">
        <v>-1240</v>
      </c>
      <c r="E29" s="18">
        <f>F29-D29-C29</f>
        <v>-177</v>
      </c>
      <c r="F29" s="18">
        <v>-64</v>
      </c>
      <c r="G29" s="18">
        <v>-111</v>
      </c>
      <c r="H29" s="18">
        <v>-480</v>
      </c>
      <c r="I29" s="18">
        <f>F29+G29</f>
        <v>-175</v>
      </c>
      <c r="J29" s="18">
        <f>AVERAGE(I26:I29)</f>
        <v>344.5</v>
      </c>
      <c r="K29" s="18">
        <f>-H29+K28</f>
        <v>-14668.745</v>
      </c>
    </row>
    <row r="30" ht="20.05" customHeight="1">
      <c r="B30" s="30"/>
      <c r="C30" s="17">
        <v>1449</v>
      </c>
      <c r="D30" s="18">
        <v>-1551</v>
      </c>
      <c r="E30" s="18">
        <f>F30-D30-C30</f>
        <v>184.4</v>
      </c>
      <c r="F30" s="18">
        <v>82.40000000000001</v>
      </c>
      <c r="G30" s="18">
        <v>-188.6</v>
      </c>
      <c r="H30" s="18">
        <v>-81.59999999999999</v>
      </c>
      <c r="I30" s="18">
        <f>F30+G30</f>
        <v>-106.2</v>
      </c>
      <c r="J30" s="18">
        <f>AVERAGE(I27:I30)</f>
        <v>31.7</v>
      </c>
      <c r="K30" s="18">
        <f>-H30+K29</f>
        <v>-14587.145</v>
      </c>
    </row>
    <row r="31" ht="20.05" customHeight="1">
      <c r="B31" s="30"/>
      <c r="C31" s="17"/>
      <c r="D31" s="18"/>
      <c r="E31" s="18"/>
      <c r="F31" s="18"/>
      <c r="G31" s="18"/>
      <c r="H31" s="18"/>
      <c r="I31" s="18"/>
      <c r="J31" s="18">
        <f>SUM('Model'!F9:F10)</f>
        <v>978.877989790470</v>
      </c>
      <c r="K31" s="18">
        <f>'Model'!F32</f>
        <v>-10802.6914352471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2.0391" style="39" customWidth="1"/>
    <col min="2" max="2" width="9.75" style="39" customWidth="1"/>
    <col min="3" max="11" width="10.7422" style="39" customWidth="1"/>
    <col min="12" max="16384" width="16.3516" style="39" customWidth="1"/>
  </cols>
  <sheetData>
    <row r="1" ht="38.45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4">
        <v>1</v>
      </c>
      <c r="C3" t="s" s="4">
        <v>52</v>
      </c>
      <c r="D3" t="s" s="4">
        <v>53</v>
      </c>
      <c r="E3" t="s" s="4">
        <v>54</v>
      </c>
      <c r="F3" t="s" s="4">
        <v>23</v>
      </c>
      <c r="G3" t="s" s="4">
        <v>11</v>
      </c>
      <c r="H3" t="s" s="4">
        <v>12</v>
      </c>
      <c r="I3" t="s" s="4">
        <v>26</v>
      </c>
      <c r="J3" t="s" s="4">
        <v>27</v>
      </c>
      <c r="K3" t="s" s="4">
        <v>35</v>
      </c>
    </row>
    <row r="4" ht="20.25" customHeight="1">
      <c r="B4" s="25">
        <v>2015</v>
      </c>
      <c r="C4" s="40">
        <v>2454.777</v>
      </c>
      <c r="D4" s="38">
        <v>9240.626</v>
      </c>
      <c r="E4" s="38">
        <f>D4-C4</f>
        <v>6785.849</v>
      </c>
      <c r="F4" s="38">
        <f>'Cashflow '!D4</f>
        <v>-232.026</v>
      </c>
      <c r="G4" s="38">
        <v>7331.412</v>
      </c>
      <c r="H4" s="38">
        <v>1909.214</v>
      </c>
      <c r="I4" s="38">
        <f>G4+H4-C4-E4</f>
        <v>0</v>
      </c>
      <c r="J4" s="38">
        <f>C4-G4</f>
        <v>-4876.635</v>
      </c>
      <c r="K4" s="38"/>
    </row>
    <row r="5" ht="20.05" customHeight="1">
      <c r="B5" s="30"/>
      <c r="C5" s="41">
        <v>2293.872</v>
      </c>
      <c r="D5" s="18">
        <v>9654.861000000001</v>
      </c>
      <c r="E5" s="18">
        <f>D5-C5</f>
        <v>7360.989</v>
      </c>
      <c r="F5" s="18">
        <f>F4+'Cashflow '!D5</f>
        <v>-463.942</v>
      </c>
      <c r="G5" s="18">
        <v>7622.786</v>
      </c>
      <c r="H5" s="18">
        <v>2032.075</v>
      </c>
      <c r="I5" s="18">
        <f>G5+H5-C5-E5</f>
        <v>0</v>
      </c>
      <c r="J5" s="18">
        <f>C5-G5</f>
        <v>-5328.914</v>
      </c>
      <c r="K5" s="18"/>
    </row>
    <row r="6" ht="20.05" customHeight="1">
      <c r="B6" s="30"/>
      <c r="C6" s="41">
        <v>2115.437</v>
      </c>
      <c r="D6" s="18">
        <v>9916.267</v>
      </c>
      <c r="E6" s="18">
        <f>D6-C6</f>
        <v>7800.83</v>
      </c>
      <c r="F6" s="18">
        <f>F5+'Cashflow '!D6</f>
        <v>-785.605</v>
      </c>
      <c r="G6" s="18">
        <v>7748.949</v>
      </c>
      <c r="H6" s="18">
        <v>2167.318</v>
      </c>
      <c r="I6" s="18">
        <f>G6+H6-C6-E6</f>
        <v>0</v>
      </c>
      <c r="J6" s="18">
        <f>C6-G6</f>
        <v>-5633.512</v>
      </c>
      <c r="K6" s="18"/>
    </row>
    <row r="7" ht="20.05" customHeight="1">
      <c r="B7" s="30"/>
      <c r="C7" s="41">
        <v>1809.33</v>
      </c>
      <c r="D7" s="18">
        <v>10202.871</v>
      </c>
      <c r="E7" s="18">
        <f>D7-C7</f>
        <v>8393.540999999999</v>
      </c>
      <c r="F7" s="18">
        <f>F6+'Cashflow '!D7</f>
        <v>-1044.967</v>
      </c>
      <c r="G7" s="18">
        <v>7979.445</v>
      </c>
      <c r="H7" s="18">
        <v>2223.426</v>
      </c>
      <c r="I7" s="18">
        <f>G7+H7-C7-E7</f>
        <v>0</v>
      </c>
      <c r="J7" s="18">
        <f>C7-G7</f>
        <v>-6170.115</v>
      </c>
      <c r="K7" s="18"/>
    </row>
    <row r="8" ht="20.05" customHeight="1">
      <c r="B8" s="33">
        <v>2016</v>
      </c>
      <c r="C8" s="41">
        <v>1605.244</v>
      </c>
      <c r="D8" s="18">
        <v>11262.274</v>
      </c>
      <c r="E8" s="18">
        <f>D8-C8</f>
        <v>9657.030000000001</v>
      </c>
      <c r="F8" s="18">
        <f>F7+'Cashflow '!D8</f>
        <v>-1334.823</v>
      </c>
      <c r="G8" s="18">
        <v>8945.040999999999</v>
      </c>
      <c r="H8" s="18">
        <v>2317.233</v>
      </c>
      <c r="I8" s="18">
        <f>G8+H8-C8-E8</f>
        <v>0</v>
      </c>
      <c r="J8" s="18">
        <f>C8-G8</f>
        <v>-7339.797</v>
      </c>
      <c r="K8" s="18"/>
    </row>
    <row r="9" ht="20.05" customHeight="1">
      <c r="B9" s="30"/>
      <c r="C9" s="41">
        <v>1390.925</v>
      </c>
      <c r="D9" s="18">
        <v>11593.507</v>
      </c>
      <c r="E9" s="18">
        <f>D9-C9</f>
        <v>10202.582</v>
      </c>
      <c r="F9" s="18">
        <f>F8+'Cashflow '!D9</f>
        <v>-1659.511</v>
      </c>
      <c r="G9" s="18">
        <v>9177.673000000001</v>
      </c>
      <c r="H9" s="18">
        <v>2415.834</v>
      </c>
      <c r="I9" s="18">
        <f>G9+H9-C9-E9</f>
        <v>0</v>
      </c>
      <c r="J9" s="18">
        <f>C9-G9</f>
        <v>-7786.748</v>
      </c>
      <c r="K9" s="18"/>
    </row>
    <row r="10" ht="20.05" customHeight="1">
      <c r="B10" s="30"/>
      <c r="C10" s="41">
        <v>969.158</v>
      </c>
      <c r="D10" s="18">
        <v>12347.338</v>
      </c>
      <c r="E10" s="18">
        <f>D10-C10</f>
        <v>11378.18</v>
      </c>
      <c r="F10" s="18">
        <f>F9+'Cashflow '!D10</f>
        <v>-2259.151</v>
      </c>
      <c r="G10" s="18">
        <v>9818.371999999999</v>
      </c>
      <c r="H10" s="18">
        <v>2528.966</v>
      </c>
      <c r="I10" s="18">
        <f>G10+H10-C10-E10</f>
        <v>0</v>
      </c>
      <c r="J10" s="18">
        <f>C10-G10</f>
        <v>-8849.214</v>
      </c>
      <c r="K10" s="18"/>
    </row>
    <row r="11" ht="20.05" customHeight="1">
      <c r="B11" s="30"/>
      <c r="C11" s="41">
        <v>1467.576</v>
      </c>
      <c r="D11" s="18">
        <v>13586.61</v>
      </c>
      <c r="E11" s="18">
        <f>D11-C11</f>
        <v>12119.034</v>
      </c>
      <c r="F11" s="18">
        <f>F10+'Cashflow '!D11</f>
        <v>-2898.009</v>
      </c>
      <c r="G11" s="18">
        <v>10906.81</v>
      </c>
      <c r="H11" s="18">
        <v>2679.8</v>
      </c>
      <c r="I11" s="18">
        <f>G11+H11-C11-E11</f>
        <v>0</v>
      </c>
      <c r="J11" s="18">
        <f>C11-G11</f>
        <v>-9439.234</v>
      </c>
      <c r="K11" s="18"/>
    </row>
    <row r="12" ht="20.05" customHeight="1">
      <c r="B12" s="33">
        <v>2017</v>
      </c>
      <c r="C12" s="41">
        <v>1077.824</v>
      </c>
      <c r="D12" s="18">
        <v>14359.096</v>
      </c>
      <c r="E12" s="18">
        <f>D12-C12</f>
        <v>13281.272</v>
      </c>
      <c r="F12" s="18">
        <f>F11+'Cashflow '!D12</f>
        <v>-3501.298</v>
      </c>
      <c r="G12" s="18">
        <v>11385.413</v>
      </c>
      <c r="H12" s="18">
        <v>2973.683</v>
      </c>
      <c r="I12" s="18">
        <f>G12+H12-C12-E12</f>
        <v>0</v>
      </c>
      <c r="J12" s="18">
        <f>C12-G12</f>
        <v>-10307.589</v>
      </c>
      <c r="K12" s="18"/>
    </row>
    <row r="13" ht="20.05" customHeight="1">
      <c r="B13" s="30"/>
      <c r="C13" s="41">
        <v>1918.777</v>
      </c>
      <c r="D13" s="18">
        <v>16517.223</v>
      </c>
      <c r="E13" s="18">
        <f>D13-C13</f>
        <v>14598.446</v>
      </c>
      <c r="F13" s="18">
        <f>F12+'Cashflow '!D13</f>
        <v>-3949.397</v>
      </c>
      <c r="G13" s="18">
        <v>13404.723</v>
      </c>
      <c r="H13" s="18">
        <v>3112.5</v>
      </c>
      <c r="I13" s="18">
        <f>G13+H13-C13-E13</f>
        <v>0</v>
      </c>
      <c r="J13" s="18">
        <f>C13-G13</f>
        <v>-11485.946</v>
      </c>
      <c r="K13" s="18"/>
    </row>
    <row r="14" ht="20.05" customHeight="1">
      <c r="B14" s="30"/>
      <c r="C14" s="41">
        <v>1746.469</v>
      </c>
      <c r="D14" s="18">
        <v>16951.54</v>
      </c>
      <c r="E14" s="18">
        <f>D14-C14</f>
        <v>15205.071</v>
      </c>
      <c r="F14" s="18">
        <f>F13+'Cashflow '!D14</f>
        <v>-4577.369</v>
      </c>
      <c r="G14" s="18">
        <v>13624.179</v>
      </c>
      <c r="H14" s="18">
        <v>3327.361</v>
      </c>
      <c r="I14" s="18">
        <f>G14+H14-C14-E14</f>
        <v>0</v>
      </c>
      <c r="J14" s="18">
        <f>C14-G14</f>
        <v>-11877.71</v>
      </c>
      <c r="K14" s="18"/>
    </row>
    <row r="15" ht="20.05" customHeight="1">
      <c r="B15" s="30"/>
      <c r="C15" s="41">
        <v>2822.795</v>
      </c>
      <c r="D15" s="18">
        <v>19012.742</v>
      </c>
      <c r="E15" s="18">
        <f>D15-C15</f>
        <v>16189.947</v>
      </c>
      <c r="F15" s="18">
        <f>F14+'Cashflow '!D15</f>
        <v>-5241.206</v>
      </c>
      <c r="G15" s="18">
        <v>15430.786</v>
      </c>
      <c r="H15" s="18">
        <v>3581.956</v>
      </c>
      <c r="I15" s="18">
        <f>G15+H15-C15-E15</f>
        <v>0</v>
      </c>
      <c r="J15" s="18">
        <f>C15-G15</f>
        <v>-12607.991</v>
      </c>
      <c r="K15" s="18"/>
    </row>
    <row r="16" ht="20.05" customHeight="1">
      <c r="B16" s="33">
        <v>2018</v>
      </c>
      <c r="C16" s="41">
        <v>2593.666</v>
      </c>
      <c r="D16" s="18">
        <v>20152.797</v>
      </c>
      <c r="E16" s="18">
        <f>D16-C16</f>
        <v>17559.131</v>
      </c>
      <c r="F16" s="18">
        <f>F15+'Cashflow '!D16</f>
        <v>-5963.28</v>
      </c>
      <c r="G16" s="18">
        <v>16132.067</v>
      </c>
      <c r="H16" s="18">
        <v>4020.73</v>
      </c>
      <c r="I16" s="18">
        <f>G16+H16-C16-E16</f>
        <v>0</v>
      </c>
      <c r="J16" s="18">
        <f>C16-G16</f>
        <v>-13538.401</v>
      </c>
      <c r="K16" s="18"/>
    </row>
    <row r="17" ht="20.05" customHeight="1">
      <c r="B17" s="30"/>
      <c r="C17" s="41">
        <v>3906.357</v>
      </c>
      <c r="D17" s="18">
        <v>22663.537</v>
      </c>
      <c r="E17" s="18">
        <f>D17-C17</f>
        <v>18757.18</v>
      </c>
      <c r="F17" s="18">
        <f>F16+'Cashflow '!D17</f>
        <v>-6859.616</v>
      </c>
      <c r="G17" s="18">
        <v>18166.937</v>
      </c>
      <c r="H17" s="18">
        <v>4496.6</v>
      </c>
      <c r="I17" s="18">
        <f>G17+H17-C17-E17</f>
        <v>0</v>
      </c>
      <c r="J17" s="18">
        <f>C17-G17</f>
        <v>-14260.58</v>
      </c>
      <c r="K17" s="18"/>
    </row>
    <row r="18" ht="20.05" customHeight="1">
      <c r="B18" s="30"/>
      <c r="C18" s="17">
        <v>3067.534</v>
      </c>
      <c r="D18" s="18">
        <v>23366.229</v>
      </c>
      <c r="E18" s="18">
        <f>D18-C18</f>
        <v>20298.695</v>
      </c>
      <c r="F18" s="18">
        <f>F17+'Cashflow '!D18</f>
        <v>-8045.423</v>
      </c>
      <c r="G18" s="18">
        <v>18356.576</v>
      </c>
      <c r="H18" s="18">
        <v>5009.653</v>
      </c>
      <c r="I18" s="18">
        <f>G18+H18-C18-E18</f>
        <v>0</v>
      </c>
      <c r="J18" s="18">
        <f>C18-G18</f>
        <v>-15289.042</v>
      </c>
      <c r="K18" s="18"/>
    </row>
    <row r="19" ht="20.05" customHeight="1">
      <c r="B19" s="30"/>
      <c r="C19" s="17">
        <v>3794.483</v>
      </c>
      <c r="D19" s="18">
        <v>25974.4</v>
      </c>
      <c r="E19" s="18">
        <f>D19-C19</f>
        <v>22179.917</v>
      </c>
      <c r="F19" s="18">
        <f>F18+'Cashflow '!D19</f>
        <v>-9415.559999999999</v>
      </c>
      <c r="G19" s="18">
        <v>20735.635</v>
      </c>
      <c r="H19" s="18">
        <v>5238.765</v>
      </c>
      <c r="I19" s="18">
        <f>G19+H19-C19-E19</f>
        <v>0</v>
      </c>
      <c r="J19" s="18">
        <f>C19-G19</f>
        <v>-16941.152</v>
      </c>
      <c r="K19" s="18"/>
    </row>
    <row r="20" ht="20.05" customHeight="1">
      <c r="B20" s="33">
        <v>2019</v>
      </c>
      <c r="C20" s="17">
        <v>3348.557</v>
      </c>
      <c r="D20" s="18">
        <v>27218.632</v>
      </c>
      <c r="E20" s="18">
        <f>D20-C20</f>
        <v>23870.075</v>
      </c>
      <c r="F20" s="18">
        <f>F19+'Cashflow '!D20</f>
        <v>-10183.822</v>
      </c>
      <c r="G20" s="18">
        <v>21515.574</v>
      </c>
      <c r="H20" s="18">
        <v>5703.058</v>
      </c>
      <c r="I20" s="18">
        <f>G20+H20-C20-E20</f>
        <v>0</v>
      </c>
      <c r="J20" s="18">
        <f>C20-G20</f>
        <v>-18167.017</v>
      </c>
      <c r="K20" s="18"/>
    </row>
    <row r="21" ht="20.05" customHeight="1">
      <c r="B21" s="30"/>
      <c r="C21" s="17">
        <v>5004.247</v>
      </c>
      <c r="D21" s="18">
        <v>30171.339</v>
      </c>
      <c r="E21" s="18">
        <f>D21-C21</f>
        <v>25167.092</v>
      </c>
      <c r="F21" s="18">
        <f>F20+'Cashflow '!D21</f>
        <v>-11002.582</v>
      </c>
      <c r="G21" s="18">
        <v>24065.791</v>
      </c>
      <c r="H21" s="18">
        <v>6105.548</v>
      </c>
      <c r="I21" s="18">
        <f>G21+H21-C21-E21</f>
        <v>0</v>
      </c>
      <c r="J21" s="18">
        <f>C21-G21</f>
        <v>-19061.544</v>
      </c>
      <c r="K21" s="18"/>
    </row>
    <row r="22" ht="20.05" customHeight="1">
      <c r="B22" s="30"/>
      <c r="C22" s="17">
        <v>4435.018</v>
      </c>
      <c r="D22" s="18">
        <v>30941.711</v>
      </c>
      <c r="E22" s="18">
        <f>D22-C22</f>
        <v>26506.693</v>
      </c>
      <c r="F22" s="18">
        <f>F21+'Cashflow '!D22</f>
        <v>-12400.8</v>
      </c>
      <c r="G22" s="18">
        <v>24080.206</v>
      </c>
      <c r="H22" s="18">
        <v>6861.505</v>
      </c>
      <c r="I22" s="18">
        <f>G22+H22-C22-E22</f>
        <v>0</v>
      </c>
      <c r="J22" s="18">
        <f>C22-G22</f>
        <v>-19645.188</v>
      </c>
      <c r="K22" s="18"/>
    </row>
    <row r="23" ht="20.05" customHeight="1">
      <c r="B23" s="30"/>
      <c r="C23" s="17">
        <v>5018.437</v>
      </c>
      <c r="D23" s="18">
        <v>33975.712</v>
      </c>
      <c r="E23" s="18">
        <f>D23-C23</f>
        <v>28957.275</v>
      </c>
      <c r="F23" s="18">
        <f>F22+'Cashflow '!D23</f>
        <v>-14212.841</v>
      </c>
      <c r="G23" s="18">
        <v>26393.555</v>
      </c>
      <c r="H23" s="18">
        <v>7582.157</v>
      </c>
      <c r="I23" s="18">
        <f>G23+H23-C23-E23</f>
        <v>0</v>
      </c>
      <c r="J23" s="18">
        <f>C23-G23</f>
        <v>-21375.118</v>
      </c>
      <c r="K23" s="18"/>
    </row>
    <row r="24" ht="20.05" customHeight="1">
      <c r="B24" s="33">
        <v>2020</v>
      </c>
      <c r="C24" s="17">
        <v>5151.884</v>
      </c>
      <c r="D24" s="18">
        <v>35059.91</v>
      </c>
      <c r="E24" s="18">
        <f>D24-C24</f>
        <v>29908.026</v>
      </c>
      <c r="F24" s="18">
        <f>F23+'Cashflow '!D24</f>
        <v>-14620.243</v>
      </c>
      <c r="G24" s="18">
        <v>26650.616</v>
      </c>
      <c r="H24" s="18">
        <v>8409.294</v>
      </c>
      <c r="I24" s="18">
        <f>G24+H24-C24-E24</f>
        <v>0</v>
      </c>
      <c r="J24" s="18">
        <f>C24-G24</f>
        <v>-21498.732</v>
      </c>
      <c r="K24" s="18"/>
    </row>
    <row r="25" ht="20.05" customHeight="1">
      <c r="B25" s="30"/>
      <c r="C25" s="17">
        <v>7153.248</v>
      </c>
      <c r="D25" s="18">
        <v>37175.281</v>
      </c>
      <c r="E25" s="18">
        <f>D25-C25</f>
        <v>30022.033</v>
      </c>
      <c r="F25" s="18">
        <f>F24+'Cashflow '!D25</f>
        <v>-14088.657</v>
      </c>
      <c r="G25" s="18">
        <v>27840.528</v>
      </c>
      <c r="H25" s="18">
        <v>9334.753000000001</v>
      </c>
      <c r="I25" s="18">
        <f>G25+H25-C25-E25</f>
        <v>0</v>
      </c>
      <c r="J25" s="18">
        <f>C25-G25</f>
        <v>-20687.28</v>
      </c>
      <c r="K25" s="18"/>
    </row>
    <row r="26" ht="20.05" customHeight="1">
      <c r="B26" s="30"/>
      <c r="C26" s="17">
        <v>8392</v>
      </c>
      <c r="D26" s="18">
        <v>38623</v>
      </c>
      <c r="E26" s="18">
        <f>D26-C26</f>
        <v>30231</v>
      </c>
      <c r="F26" s="18">
        <f>F25+'Cashflow '!D26</f>
        <v>-13960.544</v>
      </c>
      <c r="G26" s="18">
        <v>28289</v>
      </c>
      <c r="H26" s="18">
        <v>10333</v>
      </c>
      <c r="I26" s="18">
        <f>G26+H26-C26-E26</f>
        <v>-1</v>
      </c>
      <c r="J26" s="18">
        <f>C26-G26</f>
        <v>-19897</v>
      </c>
      <c r="K26" s="18"/>
    </row>
    <row r="27" ht="20.05" customHeight="1">
      <c r="B27" s="30"/>
      <c r="C27" s="17">
        <v>8206</v>
      </c>
      <c r="D27" s="18">
        <v>39280</v>
      </c>
      <c r="E27" s="18">
        <f>D27-C27</f>
        <v>31074</v>
      </c>
      <c r="F27" s="18">
        <f>F26+'Cashflow '!D27</f>
        <v>-14514.544</v>
      </c>
      <c r="G27" s="18">
        <v>28215</v>
      </c>
      <c r="H27" s="18">
        <v>11065</v>
      </c>
      <c r="I27" s="18">
        <f>G27+H27-C27-E27</f>
        <v>0</v>
      </c>
      <c r="J27" s="18">
        <f>C27-G27</f>
        <v>-20009</v>
      </c>
      <c r="K27" s="18"/>
    </row>
    <row r="28" ht="20.05" customHeight="1">
      <c r="B28" s="33">
        <v>2021</v>
      </c>
      <c r="C28" s="17">
        <v>8404</v>
      </c>
      <c r="D28" s="18">
        <v>40123</v>
      </c>
      <c r="E28" s="18">
        <f>D28-C28</f>
        <v>31719</v>
      </c>
      <c r="F28" s="18">
        <f>F27+'Cashflow '!D28</f>
        <v>-15223.544</v>
      </c>
      <c r="G28" s="18">
        <v>27239</v>
      </c>
      <c r="H28" s="18">
        <v>12884</v>
      </c>
      <c r="I28" s="18">
        <f>G28+H28-C28-E28</f>
        <v>0</v>
      </c>
      <c r="J28" s="18">
        <f>C28-G28</f>
        <v>-18835</v>
      </c>
      <c r="K28" s="18"/>
    </row>
    <row r="29" ht="20.05" customHeight="1">
      <c r="B29" s="30"/>
      <c r="C29" s="17">
        <v>7777</v>
      </c>
      <c r="D29" s="18">
        <v>40971</v>
      </c>
      <c r="E29" s="18">
        <f>D29-C29</f>
        <v>33194</v>
      </c>
      <c r="F29" s="18">
        <f>F28+'Cashflow '!D29</f>
        <v>-16463.544</v>
      </c>
      <c r="G29" s="18">
        <v>27107</v>
      </c>
      <c r="H29" s="18">
        <v>13864</v>
      </c>
      <c r="I29" s="18">
        <f>G29+H29-C29-E29</f>
        <v>0</v>
      </c>
      <c r="J29" s="18">
        <f>C29-G29</f>
        <v>-19330</v>
      </c>
      <c r="K29" s="18"/>
    </row>
    <row r="30" ht="20.05" customHeight="1">
      <c r="B30" s="30"/>
      <c r="C30" s="17">
        <v>7527</v>
      </c>
      <c r="D30" s="18">
        <v>42740</v>
      </c>
      <c r="E30" s="18">
        <f>D30-C30</f>
        <v>35213</v>
      </c>
      <c r="F30" s="18">
        <f>F29+'Cashflow '!D30</f>
        <v>-18014.544</v>
      </c>
      <c r="G30" s="18">
        <v>27425</v>
      </c>
      <c r="H30" s="18">
        <v>15315</v>
      </c>
      <c r="I30" s="18">
        <f>G30+H30-C30-E30</f>
        <v>0</v>
      </c>
      <c r="J30" s="18">
        <f>C30-G30</f>
        <v>-19898</v>
      </c>
      <c r="K30" s="18">
        <f>J30</f>
        <v>-19898</v>
      </c>
    </row>
    <row r="31" ht="20.05" customHeight="1">
      <c r="B31" s="30"/>
      <c r="C31" s="17"/>
      <c r="D31" s="18"/>
      <c r="E31" s="18">
        <f>D31-C31</f>
        <v>0</v>
      </c>
      <c r="F31" s="18"/>
      <c r="G31" s="18"/>
      <c r="H31" s="18"/>
      <c r="I31" s="18"/>
      <c r="J31" s="18"/>
      <c r="K31" s="18">
        <f>'Model'!F30</f>
        <v>-17801.0771481977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2:C97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8.72656" style="42" customWidth="1"/>
    <col min="2" max="3" width="10.7734" style="42" customWidth="1"/>
    <col min="4" max="16384" width="16.3516" style="42" customWidth="1"/>
  </cols>
  <sheetData>
    <row r="1" ht="27.65" customHeight="1">
      <c r="A1" t="s" s="2">
        <v>55</v>
      </c>
      <c r="B1" s="2"/>
      <c r="C1" s="2"/>
    </row>
    <row r="2" ht="20.25" customHeight="1">
      <c r="A2" t="s" s="43">
        <v>56</v>
      </c>
      <c r="B2" t="s" s="43">
        <v>57</v>
      </c>
      <c r="C2" t="s" s="43">
        <v>38</v>
      </c>
    </row>
    <row r="3" ht="20.25" customHeight="1">
      <c r="A3" s="25">
        <v>2014</v>
      </c>
      <c r="B3" s="44">
        <v>58.48</v>
      </c>
      <c r="C3" s="38"/>
    </row>
    <row r="4" ht="20.05" customHeight="1">
      <c r="A4" s="30"/>
      <c r="B4" s="45">
        <v>63.66</v>
      </c>
      <c r="C4" s="18"/>
    </row>
    <row r="5" ht="20.05" customHeight="1">
      <c r="A5" s="30"/>
      <c r="B5" s="45">
        <v>50.29</v>
      </c>
      <c r="C5" s="18"/>
    </row>
    <row r="6" ht="20.05" customHeight="1">
      <c r="A6" s="30"/>
      <c r="B6" s="45">
        <v>46.01</v>
      </c>
      <c r="C6" s="18"/>
    </row>
    <row r="7" ht="20.05" customHeight="1">
      <c r="A7" s="30"/>
      <c r="B7" s="45">
        <v>59.69</v>
      </c>
      <c r="C7" s="18"/>
    </row>
    <row r="8" ht="20.05" customHeight="1">
      <c r="A8" s="30"/>
      <c r="B8" s="45">
        <v>62.94</v>
      </c>
      <c r="C8" s="18"/>
    </row>
    <row r="9" ht="20.05" customHeight="1">
      <c r="A9" s="30"/>
      <c r="B9" s="45">
        <v>60.39</v>
      </c>
      <c r="C9" s="18"/>
    </row>
    <row r="10" ht="20.05" customHeight="1">
      <c r="A10" s="30"/>
      <c r="B10" s="45">
        <v>68.23</v>
      </c>
      <c r="C10" s="18"/>
    </row>
    <row r="11" ht="20.05" customHeight="1">
      <c r="A11" s="30"/>
      <c r="B11" s="45">
        <v>64.45</v>
      </c>
      <c r="C11" s="18"/>
    </row>
    <row r="12" ht="20.05" customHeight="1">
      <c r="A12" s="30"/>
      <c r="B12" s="45">
        <v>56.11</v>
      </c>
      <c r="C12" s="18"/>
    </row>
    <row r="13" ht="20.05" customHeight="1">
      <c r="A13" s="30"/>
      <c r="B13" s="45">
        <v>49.51</v>
      </c>
      <c r="C13" s="18"/>
    </row>
    <row r="14" ht="20.05" customHeight="1">
      <c r="A14" s="30"/>
      <c r="B14" s="45">
        <v>48.8</v>
      </c>
      <c r="C14" s="18"/>
    </row>
    <row r="15" ht="20.05" customHeight="1">
      <c r="A15" s="33">
        <v>2015</v>
      </c>
      <c r="B15" s="45">
        <v>63.11</v>
      </c>
      <c r="C15" s="18"/>
    </row>
    <row r="16" ht="20.05" customHeight="1">
      <c r="A16" s="30"/>
      <c r="B16" s="45">
        <v>67.84</v>
      </c>
      <c r="C16" s="18"/>
    </row>
    <row r="17" ht="20.05" customHeight="1">
      <c r="A17" s="30"/>
      <c r="B17" s="45">
        <v>59.53</v>
      </c>
      <c r="C17" s="18"/>
    </row>
    <row r="18" ht="20.05" customHeight="1">
      <c r="A18" s="30"/>
      <c r="B18" s="45">
        <v>79.5</v>
      </c>
      <c r="C18" s="18"/>
    </row>
    <row r="19" ht="20.05" customHeight="1">
      <c r="A19" s="30"/>
      <c r="B19" s="45">
        <v>89.15000000000001</v>
      </c>
      <c r="C19" s="18"/>
    </row>
    <row r="20" ht="20.05" customHeight="1">
      <c r="A20" s="30"/>
      <c r="B20" s="45">
        <v>93.84999999999999</v>
      </c>
      <c r="C20" s="18"/>
    </row>
    <row r="21" ht="20.05" customHeight="1">
      <c r="A21" s="30"/>
      <c r="B21" s="45">
        <v>114.31</v>
      </c>
      <c r="C21" s="18"/>
    </row>
    <row r="22" ht="20.05" customHeight="1">
      <c r="A22" s="30"/>
      <c r="B22" s="45">
        <v>115.03</v>
      </c>
      <c r="C22" s="18"/>
    </row>
    <row r="23" ht="20.05" customHeight="1">
      <c r="A23" s="30"/>
      <c r="B23" s="45">
        <v>103.26</v>
      </c>
      <c r="C23" s="18"/>
    </row>
    <row r="24" ht="20.05" customHeight="1">
      <c r="A24" s="30"/>
      <c r="B24" s="45">
        <v>108.38</v>
      </c>
      <c r="C24" s="18"/>
    </row>
    <row r="25" ht="20.05" customHeight="1">
      <c r="A25" s="30"/>
      <c r="B25" s="45">
        <v>123.33</v>
      </c>
      <c r="C25" s="18"/>
    </row>
    <row r="26" ht="20.05" customHeight="1">
      <c r="A26" s="30"/>
      <c r="B26" s="45">
        <v>114.38</v>
      </c>
      <c r="C26" s="18"/>
    </row>
    <row r="27" ht="20.05" customHeight="1">
      <c r="A27" s="33">
        <v>2016</v>
      </c>
      <c r="B27" s="45">
        <v>91.84</v>
      </c>
      <c r="C27" s="18"/>
    </row>
    <row r="28" ht="20.05" customHeight="1">
      <c r="A28" s="30"/>
      <c r="B28" s="45">
        <v>93.41</v>
      </c>
      <c r="C28" s="18"/>
    </row>
    <row r="29" ht="20.05" customHeight="1">
      <c r="A29" s="30"/>
      <c r="B29" s="45">
        <v>102.23</v>
      </c>
      <c r="C29" s="18"/>
    </row>
    <row r="30" ht="20.05" customHeight="1">
      <c r="A30" s="30"/>
      <c r="B30" s="45">
        <v>90.03</v>
      </c>
      <c r="C30" s="18"/>
    </row>
    <row r="31" ht="20.05" customHeight="1">
      <c r="A31" s="30"/>
      <c r="B31" s="45">
        <v>102.57</v>
      </c>
      <c r="C31" s="18"/>
    </row>
    <row r="32" ht="20.05" customHeight="1">
      <c r="A32" s="30"/>
      <c r="B32" s="45">
        <v>91.48</v>
      </c>
      <c r="C32" s="18"/>
    </row>
    <row r="33" ht="20.05" customHeight="1">
      <c r="A33" s="30"/>
      <c r="B33" s="45">
        <v>91.25</v>
      </c>
      <c r="C33" s="18"/>
    </row>
    <row r="34" ht="20.05" customHeight="1">
      <c r="A34" s="30"/>
      <c r="B34" s="45">
        <v>97.45</v>
      </c>
      <c r="C34" s="18"/>
    </row>
    <row r="35" ht="20.05" customHeight="1">
      <c r="A35" s="30"/>
      <c r="B35" s="45">
        <v>98.55</v>
      </c>
      <c r="C35" s="18"/>
    </row>
    <row r="36" ht="20.05" customHeight="1">
      <c r="A36" s="30"/>
      <c r="B36" s="17">
        <v>124.870003</v>
      </c>
      <c r="C36" s="18"/>
    </row>
    <row r="37" ht="20.05" customHeight="1">
      <c r="A37" s="30"/>
      <c r="B37" s="17">
        <v>117</v>
      </c>
      <c r="C37" s="18"/>
    </row>
    <row r="38" ht="20.05" customHeight="1">
      <c r="A38" s="30"/>
      <c r="B38" s="17">
        <v>123.800003</v>
      </c>
      <c r="C38" s="18"/>
    </row>
    <row r="39" ht="20.05" customHeight="1">
      <c r="A39" s="33">
        <v>2017</v>
      </c>
      <c r="B39" s="17">
        <v>140.710007</v>
      </c>
      <c r="C39" s="18"/>
    </row>
    <row r="40" ht="20.05" customHeight="1">
      <c r="A40" s="30"/>
      <c r="B40" s="17">
        <v>142.130005</v>
      </c>
      <c r="C40" s="18"/>
    </row>
    <row r="41" ht="20.05" customHeight="1">
      <c r="A41" s="30"/>
      <c r="B41" s="17">
        <v>147.809998</v>
      </c>
      <c r="C41" s="18"/>
    </row>
    <row r="42" ht="20.05" customHeight="1">
      <c r="A42" s="30"/>
      <c r="B42" s="17">
        <v>152.199997</v>
      </c>
      <c r="C42" s="18"/>
    </row>
    <row r="43" ht="20.05" customHeight="1">
      <c r="A43" s="30"/>
      <c r="B43" s="17">
        <v>163.070007</v>
      </c>
      <c r="C43" s="18"/>
    </row>
    <row r="44" ht="20.05" customHeight="1">
      <c r="A44" s="30"/>
      <c r="B44" s="17">
        <v>149.410004</v>
      </c>
      <c r="C44" s="18"/>
    </row>
    <row r="45" ht="20.05" customHeight="1">
      <c r="A45" s="30"/>
      <c r="B45" s="17">
        <v>181.660004</v>
      </c>
      <c r="C45" s="18"/>
    </row>
    <row r="46" ht="20.05" customHeight="1">
      <c r="A46" s="30"/>
      <c r="B46" s="17">
        <v>174.710007</v>
      </c>
      <c r="C46" s="18"/>
    </row>
    <row r="47" ht="20.05" customHeight="1">
      <c r="A47" s="30"/>
      <c r="B47" s="17">
        <v>181.350006</v>
      </c>
      <c r="C47" s="18"/>
    </row>
    <row r="48" ht="20.05" customHeight="1">
      <c r="A48" s="30"/>
      <c r="B48" s="17">
        <v>196.429993</v>
      </c>
      <c r="C48" s="18"/>
    </row>
    <row r="49" ht="20.05" customHeight="1">
      <c r="A49" s="30"/>
      <c r="B49" s="17">
        <v>187.580002</v>
      </c>
      <c r="C49" s="18"/>
    </row>
    <row r="50" ht="20.05" customHeight="1">
      <c r="A50" s="30"/>
      <c r="B50" s="17">
        <v>191.960007</v>
      </c>
      <c r="C50" s="18"/>
    </row>
    <row r="51" ht="20.05" customHeight="1">
      <c r="A51" s="33">
        <v>2018</v>
      </c>
      <c r="B51" s="17">
        <v>270.299988</v>
      </c>
      <c r="C51" s="18"/>
    </row>
    <row r="52" ht="20.05" customHeight="1">
      <c r="A52" s="30"/>
      <c r="B52" s="17">
        <v>291.380005</v>
      </c>
      <c r="C52" s="18"/>
    </row>
    <row r="53" ht="20.05" customHeight="1">
      <c r="A53" s="30"/>
      <c r="B53" s="17">
        <v>295.350006</v>
      </c>
      <c r="C53" s="18"/>
    </row>
    <row r="54" ht="20.05" customHeight="1">
      <c r="A54" s="30"/>
      <c r="B54" s="17">
        <v>312.459991</v>
      </c>
      <c r="C54" s="18"/>
    </row>
    <row r="55" ht="20.05" customHeight="1">
      <c r="A55" s="30"/>
      <c r="B55" s="17">
        <v>351.600006</v>
      </c>
      <c r="C55" s="18"/>
    </row>
    <row r="56" ht="20.05" customHeight="1">
      <c r="A56" s="30"/>
      <c r="B56" s="17">
        <v>391.429993</v>
      </c>
      <c r="C56" s="18"/>
    </row>
    <row r="57" ht="20.05" customHeight="1">
      <c r="A57" s="30"/>
      <c r="B57" s="17">
        <v>337.450012</v>
      </c>
      <c r="C57" s="18"/>
    </row>
    <row r="58" ht="20.05" customHeight="1">
      <c r="A58" s="30"/>
      <c r="B58" s="17">
        <v>367.679993</v>
      </c>
      <c r="C58" s="18"/>
    </row>
    <row r="59" ht="20.05" customHeight="1">
      <c r="A59" s="30"/>
      <c r="B59" s="17">
        <v>374.130005</v>
      </c>
      <c r="C59" s="18"/>
    </row>
    <row r="60" ht="20.05" customHeight="1">
      <c r="A60" s="30"/>
      <c r="B60" s="17">
        <v>301.779999</v>
      </c>
      <c r="C60" s="18"/>
    </row>
    <row r="61" ht="20.05" customHeight="1">
      <c r="A61" s="30"/>
      <c r="B61" s="17">
        <v>286.130005</v>
      </c>
      <c r="C61" s="18"/>
    </row>
    <row r="62" ht="20.05" customHeight="1">
      <c r="A62" s="30"/>
      <c r="B62" s="17">
        <v>267.660004</v>
      </c>
      <c r="C62" s="18"/>
    </row>
    <row r="63" ht="20.05" customHeight="1">
      <c r="A63" s="33">
        <v>2019</v>
      </c>
      <c r="B63" s="17">
        <v>339.5</v>
      </c>
      <c r="C63" s="18"/>
    </row>
    <row r="64" ht="20.05" customHeight="1">
      <c r="A64" s="30"/>
      <c r="B64" s="17">
        <v>358.100006</v>
      </c>
      <c r="C64" s="18"/>
    </row>
    <row r="65" ht="20.05" customHeight="1">
      <c r="A65" s="30"/>
      <c r="B65" s="17">
        <v>356.559998</v>
      </c>
      <c r="C65" s="18"/>
    </row>
    <row r="66" ht="20.05" customHeight="1">
      <c r="A66" s="30"/>
      <c r="B66" s="17">
        <v>370.540009</v>
      </c>
      <c r="C66" s="18"/>
    </row>
    <row r="67" ht="20.05" customHeight="1">
      <c r="A67" s="30"/>
      <c r="B67" s="17">
        <v>343.279999</v>
      </c>
      <c r="C67" s="18"/>
    </row>
    <row r="68" ht="20.05" customHeight="1">
      <c r="A68" s="30"/>
      <c r="B68" s="17">
        <v>367.320007</v>
      </c>
      <c r="C68" s="18"/>
    </row>
    <row r="69" ht="20.05" customHeight="1">
      <c r="A69" s="30"/>
      <c r="B69" s="17">
        <v>322.98999</v>
      </c>
      <c r="C69" s="18"/>
    </row>
    <row r="70" ht="20.05" customHeight="1">
      <c r="A70" s="30"/>
      <c r="B70" s="17">
        <v>293.75</v>
      </c>
      <c r="C70" s="18"/>
    </row>
    <row r="71" ht="20.05" customHeight="1">
      <c r="A71" s="30"/>
      <c r="B71" s="17">
        <v>267.619995</v>
      </c>
      <c r="C71" s="18"/>
    </row>
    <row r="72" ht="20.05" customHeight="1">
      <c r="A72" s="30"/>
      <c r="B72" s="17">
        <v>287.410004</v>
      </c>
      <c r="C72" s="18"/>
    </row>
    <row r="73" ht="20.05" customHeight="1">
      <c r="A73" s="30"/>
      <c r="B73" s="17">
        <v>314.660004</v>
      </c>
      <c r="C73" s="18"/>
    </row>
    <row r="74" ht="20.05" customHeight="1">
      <c r="A74" s="30"/>
      <c r="B74" s="17">
        <v>323.570007</v>
      </c>
      <c r="C74" s="18"/>
    </row>
    <row r="75" ht="20.05" customHeight="1">
      <c r="A75" s="33">
        <v>2020</v>
      </c>
      <c r="B75" s="17">
        <v>345.089996</v>
      </c>
      <c r="C75" s="18"/>
    </row>
    <row r="76" ht="20.05" customHeight="1">
      <c r="A76" s="30"/>
      <c r="B76" s="17">
        <v>369.029999</v>
      </c>
      <c r="C76" s="18"/>
    </row>
    <row r="77" ht="20.05" customHeight="1">
      <c r="A77" s="30"/>
      <c r="B77" s="17">
        <v>375.5</v>
      </c>
      <c r="C77" s="18"/>
    </row>
    <row r="78" ht="20.05" customHeight="1">
      <c r="A78" s="30"/>
      <c r="B78" s="17">
        <v>419.850006</v>
      </c>
      <c r="C78" s="18"/>
    </row>
    <row r="79" ht="20.05" customHeight="1">
      <c r="A79" s="30"/>
      <c r="B79" s="17">
        <v>419.730011</v>
      </c>
      <c r="C79" s="18"/>
    </row>
    <row r="80" ht="20.05" customHeight="1">
      <c r="A80" s="30"/>
      <c r="B80" s="17">
        <v>455.040009</v>
      </c>
      <c r="C80" s="18"/>
    </row>
    <row r="81" ht="20.05" customHeight="1">
      <c r="A81" s="30"/>
      <c r="B81" s="17">
        <v>488.880005</v>
      </c>
      <c r="C81" s="20"/>
    </row>
    <row r="82" ht="20.05" customHeight="1">
      <c r="A82" s="30"/>
      <c r="B82" s="17">
        <v>529.559998</v>
      </c>
      <c r="C82" s="20"/>
    </row>
    <row r="83" ht="20.05" customHeight="1">
      <c r="A83" s="30"/>
      <c r="B83" s="17">
        <v>493</v>
      </c>
      <c r="C83" s="20"/>
    </row>
    <row r="84" ht="20.05" customHeight="1">
      <c r="A84" s="30"/>
      <c r="B84" s="17">
        <v>475.73999</v>
      </c>
      <c r="C84" s="20"/>
    </row>
    <row r="85" ht="20.05" customHeight="1">
      <c r="A85" s="30"/>
      <c r="B85" s="17">
        <v>490.700012</v>
      </c>
      <c r="C85" s="20"/>
    </row>
    <row r="86" ht="20.05" customHeight="1">
      <c r="A86" s="30"/>
      <c r="B86" s="17">
        <v>540.72998</v>
      </c>
      <c r="C86" s="20"/>
    </row>
    <row r="87" ht="20.05" customHeight="1">
      <c r="A87" s="33">
        <v>2021</v>
      </c>
      <c r="B87" s="17">
        <v>532.3900149999999</v>
      </c>
      <c r="C87" s="20"/>
    </row>
    <row r="88" ht="20.05" customHeight="1">
      <c r="A88" s="30"/>
      <c r="B88" s="17">
        <v>538.849976</v>
      </c>
      <c r="C88" s="20"/>
    </row>
    <row r="89" ht="20.05" customHeight="1">
      <c r="A89" s="30"/>
      <c r="B89" s="17">
        <v>521.659973</v>
      </c>
      <c r="C89" s="20"/>
    </row>
    <row r="90" ht="20.05" customHeight="1">
      <c r="A90" s="30"/>
      <c r="B90" s="17">
        <v>513.469971</v>
      </c>
      <c r="C90" s="20"/>
    </row>
    <row r="91" ht="20.05" customHeight="1">
      <c r="A91" s="30"/>
      <c r="B91" s="17">
        <v>502.809998</v>
      </c>
      <c r="C91" s="20"/>
    </row>
    <row r="92" ht="20.05" customHeight="1">
      <c r="A92" s="30"/>
      <c r="B92" s="17">
        <v>528.210022</v>
      </c>
      <c r="C92" s="20"/>
    </row>
    <row r="93" ht="20.05" customHeight="1">
      <c r="A93" s="30"/>
      <c r="B93" s="17">
        <v>517.5700000000001</v>
      </c>
      <c r="C93" s="20"/>
    </row>
    <row r="94" ht="20.05" customHeight="1">
      <c r="A94" s="30"/>
      <c r="B94" s="17">
        <v>582.0700000000001</v>
      </c>
      <c r="C94" s="20"/>
    </row>
    <row r="95" ht="20.05" customHeight="1">
      <c r="A95" s="30"/>
      <c r="B95" s="17">
        <v>613.16</v>
      </c>
      <c r="C95" s="18"/>
    </row>
    <row r="96" ht="20.05" customHeight="1">
      <c r="A96" s="30"/>
      <c r="B96" s="17">
        <v>639</v>
      </c>
      <c r="C96" s="18">
        <f>B96</f>
        <v>639</v>
      </c>
    </row>
    <row r="97" ht="20.05" customHeight="1">
      <c r="A97" s="30"/>
      <c r="B97" s="17"/>
      <c r="C97" s="18">
        <f>'Model'!F42</f>
        <v>513.069128969685</v>
      </c>
    </row>
  </sheetData>
  <mergeCells count="1">
    <mergeCell ref="A1:C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