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</sheets>
</workbook>
</file>

<file path=xl/sharedStrings.xml><?xml version="1.0" encoding="utf-8"?>
<sst xmlns="http://schemas.openxmlformats.org/spreadsheetml/2006/main" uniqueCount="55">
  <si>
    <t>Financial model</t>
  </si>
  <si>
    <t>Rpbn</t>
  </si>
  <si>
    <t>4Q 2021</t>
  </si>
  <si>
    <t xml:space="preserve">Cashflow </t>
  </si>
  <si>
    <t xml:space="preserve">Growth </t>
  </si>
  <si>
    <t>Sales</t>
  </si>
  <si>
    <t xml:space="preserve">Cost ratio </t>
  </si>
  <si>
    <t xml:space="preserve">Cash costs </t>
  </si>
  <si>
    <t xml:space="preserve">Operating </t>
  </si>
  <si>
    <t>Investment</t>
  </si>
  <si>
    <t>Finance</t>
  </si>
  <si>
    <t xml:space="preserve">Liabilities </t>
  </si>
  <si>
    <t xml:space="preserve">Equity </t>
  </si>
  <si>
    <t xml:space="preserve">Before revolver </t>
  </si>
  <si>
    <t xml:space="preserve">Revolver </t>
  </si>
  <si>
    <t xml:space="preserve">Beginning </t>
  </si>
  <si>
    <t xml:space="preserve">Change </t>
  </si>
  <si>
    <t xml:space="preserve">Ending </t>
  </si>
  <si>
    <t xml:space="preserve">Profit </t>
  </si>
  <si>
    <t xml:space="preserve">Non cash costs </t>
  </si>
  <si>
    <t>Balance sheet</t>
  </si>
  <si>
    <t>Other assets</t>
  </si>
  <si>
    <t xml:space="preserve">Depreciation </t>
  </si>
  <si>
    <t>Net other assets</t>
  </si>
  <si>
    <t xml:space="preserve">Check </t>
  </si>
  <si>
    <t xml:space="preserve">Net cash </t>
  </si>
  <si>
    <t xml:space="preserve">Valuation </t>
  </si>
  <si>
    <t xml:space="preserve">Capital </t>
  </si>
  <si>
    <t>Current value</t>
  </si>
  <si>
    <t>P/assets</t>
  </si>
  <si>
    <t xml:space="preserve">Yield </t>
  </si>
  <si>
    <t>Cashflow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</si>
  <si>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</si>
  <si>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</si>
  <si>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</si>
  <si>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</si>
  <si>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</si>
  <si>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</si>
  <si>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>V target</t>
  </si>
  <si>
    <t xml:space="preserve">12 month growth </t>
  </si>
  <si>
    <t xml:space="preserve">Sales forecasts </t>
  </si>
  <si>
    <t>Rp bn</t>
  </si>
  <si>
    <t>Non cash costs</t>
  </si>
  <si>
    <t>Profit</t>
  </si>
  <si>
    <t xml:space="preserve">Sales growth </t>
  </si>
  <si>
    <t>Cashflow costs</t>
  </si>
  <si>
    <t>Receipts</t>
  </si>
  <si>
    <t>Capex</t>
  </si>
  <si>
    <t xml:space="preserve">Free cashflow </t>
  </si>
  <si>
    <t>Capital</t>
  </si>
  <si>
    <t>Cash</t>
  </si>
  <si>
    <t>Assets</t>
  </si>
  <si>
    <t>Check</t>
  </si>
  <si>
    <t>Share price</t>
  </si>
  <si>
    <t>MIKA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</si>
</sst>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.0"/>
    <numFmt numFmtId="60" formatCode="#,##0%"/>
    <numFmt numFmtId="61" formatCode="0_);[Red]\(0\)"/>
  </numFmts>
  <fonts count="5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Arial"/>
    </font>
    <font>
      <sz val="10"/>
      <color indexed="14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3" fontId="3" borderId="3" applyNumberFormat="1" applyFont="1" applyFill="0" applyBorder="1" applyAlignment="1" applyProtection="0">
      <alignment horizontal="right" vertical="center" wrapText="1" readingOrder="1"/>
    </xf>
    <xf numFmtId="3" fontId="3" borderId="6" applyNumberFormat="1" applyFont="1" applyFill="0" applyBorder="1" applyAlignment="1" applyProtection="0">
      <alignment horizontal="right" vertical="center" wrapText="1" readingOrder="1"/>
    </xf>
    <xf numFmtId="0" fontId="4" borderId="7" applyNumberFormat="0" applyFont="1" applyFill="0" applyBorder="1" applyAlignment="1" applyProtection="0">
      <alignment horizontal="right" vertical="top" wrapText="1"/>
    </xf>
    <xf numFmtId="3" fontId="4" borderId="7" applyNumberFormat="1" applyFont="1" applyFill="0" applyBorder="1" applyAlignment="1" applyProtection="0">
      <alignment horizontal="right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2323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855086</xdr:colOff>
      <xdr:row>1</xdr:row>
      <xdr:rowOff>340193</xdr:rowOff>
    </xdr:from>
    <xdr:to>
      <xdr:col>13</xdr:col>
      <xdr:colOff>160322</xdr:colOff>
      <xdr:row>45</xdr:row>
      <xdr:rowOff>114486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906386" y="492593"/>
          <a:ext cx="8017436" cy="1107983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.71094" style="1" customWidth="1"/>
    <col min="2" max="2" width="14.7656" style="1" customWidth="1"/>
    <col min="3" max="6" width="9.22656" style="1" customWidth="1"/>
    <col min="7" max="16384" width="16.3516" style="1" customWidth="1"/>
  </cols>
  <sheetData>
    <row r="1" ht="12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4">
        <v>2</v>
      </c>
      <c r="D3" s="5"/>
      <c r="E3" s="5"/>
      <c r="F3" s="5"/>
    </row>
    <row r="4" ht="20.25" customHeight="1">
      <c r="B4" t="s" s="6">
        <v>3</v>
      </c>
      <c r="C4" s="7">
        <f>AVERAGE('Sales'!G22:G25)</f>
        <v>0.0487869684085143</v>
      </c>
      <c r="D4" s="8"/>
      <c r="E4" s="8"/>
      <c r="F4" s="9">
        <f>AVERAGE(C5:F5)</f>
        <v>0.035</v>
      </c>
    </row>
    <row r="5" ht="20.05" customHeight="1">
      <c r="B5" t="s" s="10">
        <v>4</v>
      </c>
      <c r="C5" s="11">
        <v>0.07000000000000001</v>
      </c>
      <c r="D5" s="12">
        <v>0.05</v>
      </c>
      <c r="E5" s="12">
        <v>-0.03</v>
      </c>
      <c r="F5" s="12">
        <v>0.05</v>
      </c>
    </row>
    <row r="6" ht="20.05" customHeight="1">
      <c r="B6" t="s" s="10">
        <v>5</v>
      </c>
      <c r="C6" s="13">
        <f>'Sales'!C25*(1+C5)</f>
        <v>1087.976</v>
      </c>
      <c r="D6" s="14">
        <f>C6*(1+D5)</f>
        <v>1142.3748</v>
      </c>
      <c r="E6" s="14">
        <f>D6*(1+E5)</f>
        <v>1108.103556</v>
      </c>
      <c r="F6" s="14">
        <f>E6*(1+F5)</f>
        <v>1163.5087338</v>
      </c>
    </row>
    <row r="7" ht="20.05" customHeight="1">
      <c r="B7" t="s" s="10">
        <v>6</v>
      </c>
      <c r="C7" s="11">
        <f>AVERAGE('Sales'!H25)</f>
        <v>-0.663749016522423</v>
      </c>
      <c r="D7" s="12">
        <f>C7</f>
        <v>-0.663749016522423</v>
      </c>
      <c r="E7" s="12">
        <f>D7</f>
        <v>-0.663749016522423</v>
      </c>
      <c r="F7" s="12">
        <f>E7</f>
        <v>-0.663749016522423</v>
      </c>
    </row>
    <row r="8" ht="20.05" customHeight="1">
      <c r="B8" t="s" s="10">
        <v>7</v>
      </c>
      <c r="C8" s="15">
        <f>C6*C7</f>
        <v>-722.143</v>
      </c>
      <c r="D8" s="16">
        <f>D6*D7</f>
        <v>-758.25015</v>
      </c>
      <c r="E8" s="16">
        <f>E6*E7</f>
        <v>-735.5026455</v>
      </c>
      <c r="F8" s="16">
        <f>F6*F7</f>
        <v>-772.277777775</v>
      </c>
    </row>
    <row r="9" ht="20.05" customHeight="1">
      <c r="B9" t="s" s="10">
        <v>8</v>
      </c>
      <c r="C9" s="15">
        <f>C6+C8</f>
        <v>365.833</v>
      </c>
      <c r="D9" s="16">
        <f>D6+D8</f>
        <v>384.12465</v>
      </c>
      <c r="E9" s="16">
        <f>E6+E8</f>
        <v>372.6009105</v>
      </c>
      <c r="F9" s="16">
        <f>F6+F8</f>
        <v>391.230956025</v>
      </c>
    </row>
    <row r="10" ht="20.05" customHeight="1">
      <c r="B10" t="s" s="10">
        <v>9</v>
      </c>
      <c r="C10" s="15">
        <f>AVERAGE('Cashflow '!D25)</f>
        <v>-124</v>
      </c>
      <c r="D10" s="16">
        <f>C10</f>
        <v>-124</v>
      </c>
      <c r="E10" s="16">
        <f>D10</f>
        <v>-124</v>
      </c>
      <c r="F10" s="16">
        <f>E10</f>
        <v>-124</v>
      </c>
    </row>
    <row r="11" ht="20.05" customHeight="1">
      <c r="B11" t="s" s="10">
        <v>10</v>
      </c>
      <c r="C11" s="15">
        <f>C12+C13+C15</f>
        <v>-241.833</v>
      </c>
      <c r="D11" s="16">
        <f>D12+D13+D15</f>
        <v>-260.12465</v>
      </c>
      <c r="E11" s="16">
        <f>E12+E13+E15</f>
        <v>-248.6009105</v>
      </c>
      <c r="F11" s="16">
        <f>F12+F13+F15</f>
        <v>-267.230956025</v>
      </c>
    </row>
    <row r="12" ht="20.05" customHeight="1">
      <c r="B12" t="s" s="10">
        <v>11</v>
      </c>
      <c r="C12" s="15">
        <f>-'Balance sheet'!G26/20</f>
        <v>-45.1</v>
      </c>
      <c r="D12" s="16">
        <f>-C26/20</f>
        <v>-42.845</v>
      </c>
      <c r="E12" s="16">
        <f>-D26/20</f>
        <v>-40.70275</v>
      </c>
      <c r="F12" s="16">
        <f>-E26/20</f>
        <v>-38.6676125</v>
      </c>
    </row>
    <row r="13" ht="20.05" customHeight="1">
      <c r="B13" t="s" s="10">
        <v>12</v>
      </c>
      <c r="C13" s="15">
        <f>IF(C21&gt;0,-C21*0.7,0)</f>
        <v>-225.3531</v>
      </c>
      <c r="D13" s="16">
        <f>IF(D21&gt;0,-D21*0.7,0)</f>
        <v>-238.157255</v>
      </c>
      <c r="E13" s="16">
        <f>IF(E21&gt;0,-E21*0.7,0)</f>
        <v>-230.09063735</v>
      </c>
      <c r="F13" s="16">
        <f>IF(F21&gt;0,-F21*0.7,0)</f>
        <v>-243.1316692175</v>
      </c>
    </row>
    <row r="14" ht="20.05" customHeight="1">
      <c r="B14" t="s" s="10">
        <v>13</v>
      </c>
      <c r="C14" s="15">
        <f>C9+C10+C12+C13</f>
        <v>-28.6201</v>
      </c>
      <c r="D14" s="16">
        <f>D9+D10+D12+D13</f>
        <v>-20.877605</v>
      </c>
      <c r="E14" s="16">
        <f>E9+E10+E12+E13</f>
        <v>-22.19247685</v>
      </c>
      <c r="F14" s="16">
        <f>F9+F10+F12+F13</f>
        <v>-14.5683256925</v>
      </c>
    </row>
    <row r="15" ht="20.05" customHeight="1">
      <c r="B15" t="s" s="10">
        <v>14</v>
      </c>
      <c r="C15" s="15">
        <f>-MIN(0,C14)</f>
        <v>28.6201</v>
      </c>
      <c r="D15" s="16">
        <f>-MIN(C27,D14)</f>
        <v>20.877605</v>
      </c>
      <c r="E15" s="16">
        <f>-MIN(D27,E14)</f>
        <v>22.19247685</v>
      </c>
      <c r="F15" s="16">
        <f>-MIN(E27,F14)</f>
        <v>14.5683256925</v>
      </c>
    </row>
    <row r="16" ht="20.05" customHeight="1">
      <c r="B16" t="s" s="10">
        <v>15</v>
      </c>
      <c r="C16" s="15">
        <f>'Balance sheet'!C26</f>
        <v>1617</v>
      </c>
      <c r="D16" s="16">
        <f>C18</f>
        <v>1617</v>
      </c>
      <c r="E16" s="16">
        <f>D18</f>
        <v>1617</v>
      </c>
      <c r="F16" s="16">
        <f>E18</f>
        <v>1617</v>
      </c>
    </row>
    <row r="17" ht="20.05" customHeight="1">
      <c r="B17" t="s" s="10">
        <v>16</v>
      </c>
      <c r="C17" s="15">
        <f>C9+C10+C11</f>
        <v>0</v>
      </c>
      <c r="D17" s="16">
        <f>D9+D10+D11</f>
        <v>0</v>
      </c>
      <c r="E17" s="16">
        <f>E9+E10+E11</f>
        <v>0</v>
      </c>
      <c r="F17" s="16">
        <f>F9+F10+F11</f>
        <v>0</v>
      </c>
    </row>
    <row r="18" ht="20.05" customHeight="1">
      <c r="B18" t="s" s="10">
        <v>17</v>
      </c>
      <c r="C18" s="15">
        <f>C16+C17</f>
        <v>1617</v>
      </c>
      <c r="D18" s="16">
        <f>D16+D17</f>
        <v>1617</v>
      </c>
      <c r="E18" s="16">
        <f>E16+E17</f>
        <v>1617</v>
      </c>
      <c r="F18" s="16">
        <f>F16+F17</f>
        <v>1617</v>
      </c>
    </row>
    <row r="19" ht="20.05" customHeight="1">
      <c r="B19" t="s" s="17">
        <v>18</v>
      </c>
      <c r="C19" s="15"/>
      <c r="D19" s="16"/>
      <c r="E19" s="16"/>
      <c r="F19" s="18"/>
    </row>
    <row r="20" ht="20.05" customHeight="1">
      <c r="B20" t="s" s="10">
        <v>19</v>
      </c>
      <c r="C20" s="15">
        <f>-AVERAGE('Sales'!E25)</f>
        <v>-43.9</v>
      </c>
      <c r="D20" s="16">
        <f>C20</f>
        <v>-43.9</v>
      </c>
      <c r="E20" s="16">
        <f>D20</f>
        <v>-43.9</v>
      </c>
      <c r="F20" s="16">
        <f>E20</f>
        <v>-43.9</v>
      </c>
    </row>
    <row r="21" ht="20.05" customHeight="1">
      <c r="B21" t="s" s="10">
        <v>18</v>
      </c>
      <c r="C21" s="15">
        <f>C6+C8+C20</f>
        <v>321.933</v>
      </c>
      <c r="D21" s="16">
        <f>D6+D8+D20</f>
        <v>340.22465</v>
      </c>
      <c r="E21" s="16">
        <f>E6+E8+E20</f>
        <v>328.7009105</v>
      </c>
      <c r="F21" s="16">
        <f>F6+F8+F20</f>
        <v>347.330956025</v>
      </c>
    </row>
    <row r="22" ht="20.05" customHeight="1">
      <c r="B22" t="s" s="17">
        <v>20</v>
      </c>
      <c r="C22" s="15"/>
      <c r="D22" s="16"/>
      <c r="E22" s="16"/>
      <c r="F22" s="16"/>
    </row>
    <row r="23" ht="20.05" customHeight="1">
      <c r="B23" t="s" s="10">
        <v>21</v>
      </c>
      <c r="C23" s="15">
        <f>'Balance sheet'!E26+'Balance sheet'!F26-C10</f>
        <v>6761</v>
      </c>
      <c r="D23" s="16">
        <f>C23-D10</f>
        <v>6885</v>
      </c>
      <c r="E23" s="16">
        <f>D23-E10</f>
        <v>7009</v>
      </c>
      <c r="F23" s="16">
        <f>E23-F10</f>
        <v>7133</v>
      </c>
    </row>
    <row r="24" ht="20.05" customHeight="1">
      <c r="B24" t="s" s="10">
        <v>22</v>
      </c>
      <c r="C24" s="15">
        <f>'Balance sheet'!F26-C20</f>
        <v>1592.9</v>
      </c>
      <c r="D24" s="16">
        <f>C24-D20</f>
        <v>1636.8</v>
      </c>
      <c r="E24" s="16">
        <f>D24-E20</f>
        <v>1680.7</v>
      </c>
      <c r="F24" s="16">
        <f>E24-F20</f>
        <v>1724.6</v>
      </c>
    </row>
    <row r="25" ht="20.05" customHeight="1">
      <c r="B25" t="s" s="10">
        <v>23</v>
      </c>
      <c r="C25" s="15">
        <f>C23-C24</f>
        <v>5168.1</v>
      </c>
      <c r="D25" s="16">
        <f>D23-D24</f>
        <v>5248.2</v>
      </c>
      <c r="E25" s="16">
        <f>E23-E24</f>
        <v>5328.3</v>
      </c>
      <c r="F25" s="16">
        <f>F23-F24</f>
        <v>5408.4</v>
      </c>
    </row>
    <row r="26" ht="20.05" customHeight="1">
      <c r="B26" t="s" s="10">
        <v>11</v>
      </c>
      <c r="C26" s="15">
        <f>'Balance sheet'!G26+C12</f>
        <v>856.9</v>
      </c>
      <c r="D26" s="16">
        <f>C26+D12</f>
        <v>814.0549999999999</v>
      </c>
      <c r="E26" s="16">
        <f>D26+E12</f>
        <v>773.35225</v>
      </c>
      <c r="F26" s="16">
        <f>E26+F12</f>
        <v>734.6846375</v>
      </c>
    </row>
    <row r="27" ht="20.05" customHeight="1">
      <c r="B27" t="s" s="10">
        <v>14</v>
      </c>
      <c r="C27" s="15">
        <f>C15</f>
        <v>28.6201</v>
      </c>
      <c r="D27" s="16">
        <f>C27+D15</f>
        <v>49.497705</v>
      </c>
      <c r="E27" s="16">
        <f>D27+E15</f>
        <v>71.69018185</v>
      </c>
      <c r="F27" s="16">
        <f>E27+F15</f>
        <v>86.2585075425</v>
      </c>
    </row>
    <row r="28" ht="20.05" customHeight="1">
      <c r="B28" t="s" s="10">
        <v>12</v>
      </c>
      <c r="C28" s="15">
        <f>'Balance sheet'!H26+C21+C13</f>
        <v>5899.5799</v>
      </c>
      <c r="D28" s="16">
        <f>C28+D21+D13</f>
        <v>6001.647295</v>
      </c>
      <c r="E28" s="16">
        <f>D28+E21+E13</f>
        <v>6100.25756815</v>
      </c>
      <c r="F28" s="16">
        <f>E28+F21+F13</f>
        <v>6204.4568549575</v>
      </c>
    </row>
    <row r="29" ht="20.05" customHeight="1">
      <c r="B29" t="s" s="10">
        <v>24</v>
      </c>
      <c r="C29" s="15">
        <f>C26+C27+C28-C18-C25</f>
        <v>0</v>
      </c>
      <c r="D29" s="16">
        <f>D26+D27+D28-D18-D25</f>
        <v>0</v>
      </c>
      <c r="E29" s="16">
        <f>E26+E27+E28-E18-E25</f>
        <v>0</v>
      </c>
      <c r="F29" s="16">
        <f>F26+F27+F28-F18-F25</f>
        <v>0</v>
      </c>
    </row>
    <row r="30" ht="20.05" customHeight="1">
      <c r="B30" t="s" s="10">
        <v>25</v>
      </c>
      <c r="C30" s="15">
        <f>C18-C26-C27</f>
        <v>731.4799</v>
      </c>
      <c r="D30" s="16">
        <f>D18-D26-D27</f>
        <v>753.4472950000001</v>
      </c>
      <c r="E30" s="16">
        <f>E18-E26-E27</f>
        <v>771.95756815</v>
      </c>
      <c r="F30" s="16">
        <f>F18-F26-F27</f>
        <v>796.0568549575</v>
      </c>
    </row>
    <row r="31" ht="20.05" customHeight="1">
      <c r="B31" t="s" s="17">
        <v>26</v>
      </c>
      <c r="C31" s="15"/>
      <c r="D31" s="16"/>
      <c r="E31" s="16"/>
      <c r="F31" s="16"/>
    </row>
    <row r="32" ht="20.05" customHeight="1">
      <c r="B32" t="s" s="10">
        <v>27</v>
      </c>
      <c r="C32" s="15">
        <f>'Cashflow '!J26-C11</f>
        <v>3042.133</v>
      </c>
      <c r="D32" s="16">
        <f>C32-D11</f>
        <v>3302.25765</v>
      </c>
      <c r="E32" s="16">
        <f>D32-E11</f>
        <v>3550.8585605</v>
      </c>
      <c r="F32" s="16">
        <f>E32-F11</f>
        <v>3818.089516525</v>
      </c>
    </row>
    <row r="33" ht="20.05" customHeight="1">
      <c r="B33" t="s" s="10">
        <v>28</v>
      </c>
      <c r="C33" s="15"/>
      <c r="D33" s="16"/>
      <c r="E33" s="16"/>
      <c r="F33" s="16">
        <v>31450</v>
      </c>
    </row>
    <row r="34" ht="20.05" customHeight="1">
      <c r="B34" t="s" s="10">
        <v>29</v>
      </c>
      <c r="C34" s="15"/>
      <c r="D34" s="16"/>
      <c r="E34" s="16"/>
      <c r="F34" s="19">
        <f>F33/(F18+F25)</f>
        <v>4.4766134312637</v>
      </c>
    </row>
    <row r="35" ht="20.05" customHeight="1">
      <c r="B35" t="s" s="10">
        <v>30</v>
      </c>
      <c r="C35" s="15"/>
      <c r="D35" s="16"/>
      <c r="E35" s="16"/>
      <c r="F35" s="20">
        <f>-(C13+D13+E13+F13)/F33</f>
        <v>0.0297848223073927</v>
      </c>
    </row>
    <row r="36" ht="20.05" customHeight="1">
      <c r="B36" t="s" s="10">
        <v>31</v>
      </c>
      <c r="C36" s="15"/>
      <c r="D36" s="16"/>
      <c r="E36" s="16"/>
      <c r="F36" s="16">
        <f>SUM(C9:F10)</f>
        <v>1017.789516525</v>
      </c>
    </row>
    <row r="37" ht="20.05" customHeight="1">
      <c r="B37" t="s" s="10">
        <v>32</v>
      </c>
      <c r="C37" s="15"/>
      <c r="D37" s="16"/>
      <c r="E37" s="16"/>
      <c r="F37" s="16">
        <f>'Balance sheet'!E26/F36</f>
        <v>4.99906897977468</v>
      </c>
    </row>
    <row r="38" ht="20.05" customHeight="1">
      <c r="B38" t="s" s="10">
        <v>26</v>
      </c>
      <c r="C38" s="15"/>
      <c r="D38" s="16"/>
      <c r="E38" s="16"/>
      <c r="F38" s="16">
        <f>F33/F36</f>
        <v>30.9002986269485</v>
      </c>
    </row>
    <row r="39" ht="20.05" customHeight="1">
      <c r="B39" t="s" s="10">
        <v>33</v>
      </c>
      <c r="C39" s="15"/>
      <c r="D39" s="16"/>
      <c r="E39" s="16"/>
      <c r="F39" s="16">
        <v>35</v>
      </c>
    </row>
    <row r="40" ht="20.05" customHeight="1">
      <c r="B40" t="s" s="10">
        <v>34</v>
      </c>
      <c r="C40" s="15"/>
      <c r="D40" s="16"/>
      <c r="E40" s="16"/>
      <c r="F40" s="16">
        <f>F36*F39</f>
        <v>35622.633078375</v>
      </c>
    </row>
    <row r="41" ht="20.05" customHeight="1">
      <c r="B41" t="s" s="10">
        <v>35</v>
      </c>
      <c r="C41" s="15"/>
      <c r="D41" s="16"/>
      <c r="E41" s="16"/>
      <c r="F41" s="16">
        <f>F33/F43</f>
        <v>14.1666666666667</v>
      </c>
    </row>
    <row r="42" ht="20.05" customHeight="1">
      <c r="B42" t="s" s="10">
        <v>36</v>
      </c>
      <c r="C42" s="15"/>
      <c r="D42" s="16"/>
      <c r="E42" s="16"/>
      <c r="F42" s="16">
        <f>F40/F41</f>
        <v>2514.538805532350</v>
      </c>
    </row>
    <row r="43" ht="20.05" customHeight="1">
      <c r="B43" t="s" s="10">
        <v>37</v>
      </c>
      <c r="C43" s="15"/>
      <c r="D43" s="16"/>
      <c r="E43" s="16"/>
      <c r="F43" s="16">
        <f>'Share price '!C74</f>
        <v>2220</v>
      </c>
    </row>
    <row r="44" ht="20.05" customHeight="1">
      <c r="B44" t="s" s="10">
        <v>38</v>
      </c>
      <c r="C44" s="15"/>
      <c r="D44" s="16"/>
      <c r="E44" s="16"/>
      <c r="F44" s="20">
        <f>F42/F43-1</f>
        <v>0.132675137627185</v>
      </c>
    </row>
    <row r="45" ht="20.05" customHeight="1">
      <c r="B45" t="s" s="10">
        <v>39</v>
      </c>
      <c r="C45" s="15"/>
      <c r="D45" s="16"/>
      <c r="E45" s="16"/>
      <c r="F45" s="20">
        <f>'Sales'!C25/'Sales'!C21-1</f>
        <v>0.162588611936885</v>
      </c>
    </row>
    <row r="46" ht="20.05" customHeight="1">
      <c r="B46" t="s" s="10">
        <v>40</v>
      </c>
      <c r="C46" s="15"/>
      <c r="D46" s="16"/>
      <c r="E46" s="16"/>
      <c r="F46" s="20">
        <f>('Sales'!D23+'Sales'!D25+'Sales'!D24)/('Sales'!C23+'Sales'!C25+'Sales'!C24)-1</f>
        <v>0.0436259026595432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2:J29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1.72656" style="21" customWidth="1"/>
    <col min="2" max="10" width="10.9688" style="21" customWidth="1"/>
    <col min="11" max="16384" width="16.3516" style="21" customWidth="1"/>
  </cols>
  <sheetData>
    <row r="1" ht="27.65" customHeight="1">
      <c r="B1" t="s" s="2">
        <v>5</v>
      </c>
      <c r="C1" s="2"/>
      <c r="D1" s="2"/>
      <c r="E1" s="2"/>
      <c r="F1" s="2"/>
      <c r="G1" s="2"/>
      <c r="H1" s="2"/>
      <c r="I1" s="2"/>
      <c r="J1" s="2"/>
    </row>
    <row r="2" ht="32.25" customHeight="1">
      <c r="B2" t="s" s="4">
        <v>41</v>
      </c>
      <c r="C2" t="s" s="4">
        <v>5</v>
      </c>
      <c r="D2" t="s" s="4">
        <v>33</v>
      </c>
      <c r="E2" t="s" s="4">
        <v>42</v>
      </c>
      <c r="F2" t="s" s="4">
        <v>43</v>
      </c>
      <c r="G2" t="s" s="4">
        <v>44</v>
      </c>
      <c r="H2" t="s" s="4">
        <v>6</v>
      </c>
      <c r="I2" t="s" s="4">
        <v>45</v>
      </c>
      <c r="J2" t="s" s="4">
        <v>45</v>
      </c>
    </row>
    <row r="3" ht="20.25" customHeight="1">
      <c r="B3" s="22">
        <v>2016</v>
      </c>
      <c r="C3" s="23">
        <v>625.1</v>
      </c>
      <c r="D3" s="24"/>
      <c r="E3" s="24">
        <v>25</v>
      </c>
      <c r="F3" s="24">
        <v>190.8</v>
      </c>
      <c r="G3" s="9"/>
      <c r="H3" s="9">
        <f>(E3+F3-C3)/C3</f>
        <v>-0.654775235962246</v>
      </c>
      <c r="I3" s="25"/>
      <c r="J3" s="25">
        <f>('Cashflow '!E4-'Cashflow '!C4)/'Cashflow '!C4</f>
        <v>-0.589466460799451</v>
      </c>
    </row>
    <row r="4" ht="20.05" customHeight="1">
      <c r="B4" s="26"/>
      <c r="C4" s="13">
        <v>636.3</v>
      </c>
      <c r="D4" s="14"/>
      <c r="E4" s="14">
        <v>25</v>
      </c>
      <c r="F4" s="14">
        <v>195.4</v>
      </c>
      <c r="G4" s="12">
        <f>C4/C3-1</f>
        <v>0.0179171332586786</v>
      </c>
      <c r="H4" s="12">
        <f>(E4+F4-C4)/C4</f>
        <v>-0.653622505107654</v>
      </c>
      <c r="I4" s="20"/>
      <c r="J4" s="20">
        <f>('Cashflow '!E5-'Cashflow '!C5)/'Cashflow '!C5</f>
        <v>-0.608991825613079</v>
      </c>
    </row>
    <row r="5" ht="20.05" customHeight="1">
      <c r="B5" s="26"/>
      <c r="C5" s="13">
        <v>566.5</v>
      </c>
      <c r="D5" s="14"/>
      <c r="E5" s="14">
        <v>25.2</v>
      </c>
      <c r="F5" s="14">
        <v>163.3</v>
      </c>
      <c r="G5" s="12">
        <f>C5/C4-1</f>
        <v>-0.10969668395411</v>
      </c>
      <c r="H5" s="12">
        <f>(E5+F5-C5)/C5</f>
        <v>-0.667255075022065</v>
      </c>
      <c r="I5" s="20"/>
      <c r="J5" s="20">
        <f>('Cashflow '!E6-'Cashflow '!C6)/'Cashflow '!C6</f>
        <v>-0.706425275115371</v>
      </c>
    </row>
    <row r="6" ht="20.05" customHeight="1">
      <c r="B6" s="26"/>
      <c r="C6" s="13">
        <v>607.6</v>
      </c>
      <c r="D6" s="14"/>
      <c r="E6" s="14">
        <v>26.2</v>
      </c>
      <c r="F6" s="14">
        <v>171.2</v>
      </c>
      <c r="G6" s="12">
        <f>C6/C5-1</f>
        <v>0.0725507502206531</v>
      </c>
      <c r="H6" s="12">
        <f>(E6+F6-C6)/C6</f>
        <v>-0.675115207373272</v>
      </c>
      <c r="I6" s="20"/>
      <c r="J6" s="20">
        <f>('Cashflow '!E7-'Cashflow '!C7)/'Cashflow '!C7</f>
        <v>-0.662087451834478</v>
      </c>
    </row>
    <row r="7" ht="20.05" customHeight="1">
      <c r="B7" s="27">
        <v>2017</v>
      </c>
      <c r="C7" s="13">
        <v>631.5</v>
      </c>
      <c r="D7" s="14"/>
      <c r="E7" s="14">
        <v>27.6</v>
      </c>
      <c r="F7" s="14">
        <v>192.2</v>
      </c>
      <c r="G7" s="12">
        <f>C7/C6-1</f>
        <v>0.0393350888742594</v>
      </c>
      <c r="H7" s="12">
        <f>(E7+F7-C7)/C7</f>
        <v>-0.65193982581156</v>
      </c>
      <c r="I7" s="20">
        <f>AVERAGE(J4:J7)</f>
        <v>-0.662204105464134</v>
      </c>
      <c r="J7" s="20">
        <f>('Cashflow '!E8-'Cashflow '!C8)/'Cashflow '!C8</f>
        <v>-0.671311869293609</v>
      </c>
    </row>
    <row r="8" ht="20.05" customHeight="1">
      <c r="B8" s="26"/>
      <c r="C8" s="13">
        <v>605.5</v>
      </c>
      <c r="D8" s="14"/>
      <c r="E8" s="14">
        <v>27.2</v>
      </c>
      <c r="F8" s="14">
        <v>172.7</v>
      </c>
      <c r="G8" s="12">
        <f>C8/C7-1</f>
        <v>-0.0411718131433096</v>
      </c>
      <c r="H8" s="12">
        <f>(E8+F8-C8)/C8</f>
        <v>-0.669859620148637</v>
      </c>
      <c r="I8" s="20">
        <f>AVERAGE(J5:J8)</f>
        <v>-0.695630119844397</v>
      </c>
      <c r="J8" s="20">
        <f>('Cashflow '!E9-'Cashflow '!C9)/'Cashflow '!C9</f>
        <v>-0.74269588313413</v>
      </c>
    </row>
    <row r="9" ht="20.05" customHeight="1">
      <c r="B9" s="26"/>
      <c r="C9" s="13">
        <v>610</v>
      </c>
      <c r="D9" s="14"/>
      <c r="E9" s="14">
        <v>29.4</v>
      </c>
      <c r="F9" s="14">
        <v>177.8</v>
      </c>
      <c r="G9" s="12">
        <f>C9/C8-1</f>
        <v>0.00743187448389761</v>
      </c>
      <c r="H9" s="12">
        <f>(E9+F9-C9)/C9</f>
        <v>-0.660327868852459</v>
      </c>
      <c r="I9" s="20">
        <f>AVERAGE(J6:J9)</f>
        <v>-0.687634222901783</v>
      </c>
      <c r="J9" s="20">
        <f>('Cashflow '!E10-'Cashflow '!C10)/'Cashflow '!C10</f>
        <v>-0.6744416873449131</v>
      </c>
    </row>
    <row r="10" ht="20.05" customHeight="1">
      <c r="B10" s="26"/>
      <c r="C10" s="13">
        <v>648.7</v>
      </c>
      <c r="D10" s="14"/>
      <c r="E10" s="14">
        <v>29.3</v>
      </c>
      <c r="F10" s="14">
        <v>166</v>
      </c>
      <c r="G10" s="12">
        <f>C10/C9-1</f>
        <v>0.0634426229508197</v>
      </c>
      <c r="H10" s="12">
        <f>(E10+F10-C10)/C10</f>
        <v>-0.698936334206875</v>
      </c>
      <c r="I10" s="20">
        <f>AVERAGE(J7:J10)</f>
        <v>-0.689874500370011</v>
      </c>
      <c r="J10" s="20">
        <f>('Cashflow '!E11-'Cashflow '!C11)/'Cashflow '!C11</f>
        <v>-0.671048561707393</v>
      </c>
    </row>
    <row r="11" ht="20.05" customHeight="1">
      <c r="B11" s="27">
        <v>2018</v>
      </c>
      <c r="C11" s="13">
        <v>694.8</v>
      </c>
      <c r="D11" s="14"/>
      <c r="E11" s="14">
        <v>31.2</v>
      </c>
      <c r="F11" s="14">
        <v>177</v>
      </c>
      <c r="G11" s="12">
        <f>C11/C10-1</f>
        <v>0.0710652073377524</v>
      </c>
      <c r="H11" s="12">
        <f>(E11+F11-C11)/C11</f>
        <v>-0.700345423143351</v>
      </c>
      <c r="I11" s="20">
        <f>AVERAGE(J8:J11)</f>
        <v>-0.697823676761882</v>
      </c>
      <c r="J11" s="20">
        <f>('Cashflow '!E12-'Cashflow '!C12)/'Cashflow '!C12</f>
        <v>-0.70310857486109</v>
      </c>
    </row>
    <row r="12" ht="20.05" customHeight="1">
      <c r="B12" s="26"/>
      <c r="C12" s="13">
        <v>671.1</v>
      </c>
      <c r="D12" s="14"/>
      <c r="E12" s="14">
        <v>31.6</v>
      </c>
      <c r="F12" s="14">
        <v>164</v>
      </c>
      <c r="G12" s="12">
        <f>C12/C11-1</f>
        <v>-0.0341105354058722</v>
      </c>
      <c r="H12" s="12">
        <f>(E12+F12-C12)/C12</f>
        <v>-0.708538220831471</v>
      </c>
      <c r="I12" s="20">
        <f>AVERAGE(J9:J12)</f>
        <v>-0.712746971470932</v>
      </c>
      <c r="J12" s="20">
        <f>('Cashflow '!E13-'Cashflow '!C13)/'Cashflow '!C13</f>
        <v>-0.80238906197033</v>
      </c>
    </row>
    <row r="13" ht="20.05" customHeight="1">
      <c r="B13" s="26"/>
      <c r="C13" s="13">
        <v>666.8</v>
      </c>
      <c r="D13" s="14"/>
      <c r="E13" s="14">
        <v>32.5</v>
      </c>
      <c r="F13" s="14">
        <v>177.4</v>
      </c>
      <c r="G13" s="12">
        <f>C13/C12-1</f>
        <v>-0.0064073908508419</v>
      </c>
      <c r="H13" s="12">
        <f>(E13+F13-C13)/C13</f>
        <v>-0.685212957408518</v>
      </c>
      <c r="I13" s="20">
        <f>AVERAGE(J10:J13)</f>
        <v>-0.706597728011622</v>
      </c>
      <c r="J13" s="20">
        <f>('Cashflow '!E14-'Cashflow '!C14)/'Cashflow '!C14</f>
        <v>-0.649844713507674</v>
      </c>
    </row>
    <row r="14" ht="20.05" customHeight="1">
      <c r="B14" s="26"/>
      <c r="C14" s="13">
        <v>680.38</v>
      </c>
      <c r="D14" s="14"/>
      <c r="E14" s="14">
        <v>76.90000000000001</v>
      </c>
      <c r="F14" s="14">
        <v>140.3</v>
      </c>
      <c r="G14" s="12">
        <f>C14/C13-1</f>
        <v>0.0203659268146371</v>
      </c>
      <c r="H14" s="12">
        <f>(E14+F14-C14)/C14</f>
        <v>-0.680766630412417</v>
      </c>
      <c r="I14" s="20">
        <f>AVERAGE(J11:J14)</f>
        <v>-0.716298114351369</v>
      </c>
      <c r="J14" s="20">
        <f>('Cashflow '!E15-'Cashflow '!C15)/'Cashflow '!C15</f>
        <v>-0.709850107066381</v>
      </c>
    </row>
    <row r="15" ht="20.05" customHeight="1">
      <c r="B15" s="27">
        <v>2019</v>
      </c>
      <c r="C15" s="13">
        <v>804.6</v>
      </c>
      <c r="D15" s="14"/>
      <c r="E15" s="14">
        <v>38.9</v>
      </c>
      <c r="F15" s="14">
        <v>205.1</v>
      </c>
      <c r="G15" s="12">
        <f>C15/C14-1</f>
        <v>0.18257444369323</v>
      </c>
      <c r="H15" s="12">
        <f>(E15+F15-C15)/C15</f>
        <v>-0.696743723589361</v>
      </c>
      <c r="I15" s="20">
        <f>AVERAGE(J12:J15)</f>
        <v>-0.693326581858541</v>
      </c>
      <c r="J15" s="20">
        <f>('Cashflow '!E16-'Cashflow '!C16)/'Cashflow '!C16</f>
        <v>-0.6112224448897799</v>
      </c>
    </row>
    <row r="16" ht="20.05" customHeight="1">
      <c r="B16" s="26"/>
      <c r="C16" s="13">
        <v>779.8</v>
      </c>
      <c r="D16" s="14"/>
      <c r="E16" s="14">
        <v>39.4</v>
      </c>
      <c r="F16" s="14">
        <v>191.5</v>
      </c>
      <c r="G16" s="12">
        <f>C16/C15-1</f>
        <v>-0.0308227690778026</v>
      </c>
      <c r="H16" s="12">
        <f>(E16+F16-C16)/C16</f>
        <v>-0.7038984354962809</v>
      </c>
      <c r="I16" s="20">
        <f>AVERAGE(J13:J16)</f>
        <v>-0.686388045480549</v>
      </c>
      <c r="J16" s="20">
        <f>('Cashflow '!E17-'Cashflow '!C17)/'Cashflow '!C17</f>
        <v>-0.774634916458361</v>
      </c>
    </row>
    <row r="17" ht="20.05" customHeight="1">
      <c r="B17" s="26"/>
      <c r="C17" s="13">
        <v>798.5</v>
      </c>
      <c r="D17" s="14"/>
      <c r="E17" s="14">
        <v>43</v>
      </c>
      <c r="F17" s="14">
        <v>190.7</v>
      </c>
      <c r="G17" s="12">
        <f>C17/C16-1</f>
        <v>0.0239805078225186</v>
      </c>
      <c r="H17" s="12">
        <f>(E17+F17-C17)/C17</f>
        <v>-0.707326236693801</v>
      </c>
      <c r="I17" s="20">
        <f>AVERAGE(J14:J17)</f>
        <v>-0.693334761840473</v>
      </c>
      <c r="J17" s="20">
        <f>('Cashflow '!E18-'Cashflow '!C18)/'Cashflow '!C18</f>
        <v>-0.677631578947368</v>
      </c>
    </row>
    <row r="18" ht="20.05" customHeight="1">
      <c r="B18" s="26"/>
      <c r="C18" s="13">
        <v>822.1</v>
      </c>
      <c r="D18" s="14"/>
      <c r="E18" s="14">
        <v>39.5</v>
      </c>
      <c r="F18" s="14">
        <v>204.1</v>
      </c>
      <c r="G18" s="12">
        <f>C18/C17-1</f>
        <v>0.0295554164057608</v>
      </c>
      <c r="H18" s="12">
        <f>(E18+F18-C18)/C18</f>
        <v>-0.703685683006933</v>
      </c>
      <c r="I18" s="20">
        <f>AVERAGE(J15:J18)</f>
        <v>-0.708610207138026</v>
      </c>
      <c r="J18" s="20">
        <f>('Cashflow '!E19-'Cashflow '!C19)/'Cashflow '!C19</f>
        <v>-0.770951888256596</v>
      </c>
    </row>
    <row r="19" ht="20.05" customHeight="1">
      <c r="B19" s="27">
        <v>2020</v>
      </c>
      <c r="C19" s="13">
        <v>874.7</v>
      </c>
      <c r="D19" s="14"/>
      <c r="E19" s="14">
        <v>45.1</v>
      </c>
      <c r="F19" s="14">
        <v>220.4</v>
      </c>
      <c r="G19" s="12">
        <f>C19/C18-1</f>
        <v>0.0639824838827393</v>
      </c>
      <c r="H19" s="12">
        <f>(E19+F19-C19)/C19</f>
        <v>-0.696467360237796</v>
      </c>
      <c r="I19" s="20">
        <f>AVERAGE(J16:J19)</f>
        <v>-0.716816334316923</v>
      </c>
      <c r="J19" s="20">
        <f>('Cashflow '!E20-'Cashflow '!C20)/'Cashflow '!C20</f>
        <v>-0.644046953605366</v>
      </c>
    </row>
    <row r="20" ht="20.05" customHeight="1">
      <c r="B20" s="26"/>
      <c r="C20" s="13">
        <v>566.6</v>
      </c>
      <c r="D20" s="14"/>
      <c r="E20" s="14">
        <v>45.7</v>
      </c>
      <c r="F20" s="14">
        <v>97.2</v>
      </c>
      <c r="G20" s="12">
        <f>C20/C19-1</f>
        <v>-0.352235052017835</v>
      </c>
      <c r="H20" s="12">
        <f>(E20+F20-C20)/C20</f>
        <v>-0.747793858100953</v>
      </c>
      <c r="I20" s="20">
        <f>AVERAGE(J17:J20)</f>
        <v>-0.733350043894431</v>
      </c>
      <c r="J20" s="20">
        <f>('Cashflow '!E21-'Cashflow '!C21)/'Cashflow '!C21</f>
        <v>-0.840769754768392</v>
      </c>
    </row>
    <row r="21" ht="20.05" customHeight="1">
      <c r="B21" s="26"/>
      <c r="C21" s="13">
        <v>874.6</v>
      </c>
      <c r="D21" s="14"/>
      <c r="E21" s="14">
        <v>44.3</v>
      </c>
      <c r="F21" s="14">
        <v>252.5</v>
      </c>
      <c r="G21" s="12">
        <f>C21/C20-1</f>
        <v>0.543593363925168</v>
      </c>
      <c r="H21" s="12">
        <f>(E21+F21-C21)/C21</f>
        <v>-0.66064486622456</v>
      </c>
      <c r="I21" s="20">
        <f>AVERAGE(J18:J21)</f>
        <v>-0.708933680732716</v>
      </c>
      <c r="J21" s="20">
        <f>('Cashflow '!E22-'Cashflow '!C22)/'Cashflow '!C22</f>
        <v>-0.579966126300508</v>
      </c>
    </row>
    <row r="22" ht="20.05" customHeight="1">
      <c r="B22" s="26"/>
      <c r="C22" s="13">
        <v>1103.4</v>
      </c>
      <c r="D22" s="14"/>
      <c r="E22" s="14">
        <v>45.1</v>
      </c>
      <c r="F22" s="14">
        <v>353.4</v>
      </c>
      <c r="G22" s="12">
        <f>C22/C21-1</f>
        <v>0.261605305282415</v>
      </c>
      <c r="H22" s="12">
        <f>(E22+F22-C22)/C22</f>
        <v>-0.63884357440638</v>
      </c>
      <c r="I22" s="20">
        <f>AVERAGE(J19:J22)</f>
        <v>-0.685896482889115</v>
      </c>
      <c r="J22" s="20">
        <f>('Cashflow '!E23-'Cashflow '!C23)/'Cashflow '!C23</f>
        <v>-0.678803096882193</v>
      </c>
    </row>
    <row r="23" ht="20.05" customHeight="1">
      <c r="B23" s="27">
        <v>2021</v>
      </c>
      <c r="C23" s="13">
        <v>1203.7</v>
      </c>
      <c r="D23" s="14">
        <v>1213.74</v>
      </c>
      <c r="E23" s="14">
        <f>0.2+48.2</f>
        <v>48.4</v>
      </c>
      <c r="F23" s="14">
        <v>373.68</v>
      </c>
      <c r="G23" s="12">
        <f>C23/C22-1</f>
        <v>0.09090085191227119</v>
      </c>
      <c r="H23" s="12">
        <f>(E23+F23-C23)/C23</f>
        <v>-0.649347844147213</v>
      </c>
      <c r="I23" s="20">
        <f>AVERAGE(J20:J23)</f>
        <v>-0.666761236782108</v>
      </c>
      <c r="J23" s="20">
        <f>('Cashflow '!E24-'Cashflow '!C24)/'Cashflow '!C24</f>
        <v>-0.567505969177339</v>
      </c>
    </row>
    <row r="24" ht="20.05" customHeight="1">
      <c r="B24" s="26"/>
      <c r="C24" s="13">
        <f>2389.8-C23</f>
        <v>1186.1</v>
      </c>
      <c r="D24" s="14">
        <v>1143.515</v>
      </c>
      <c r="E24" s="14">
        <f>0.4+96.1-E23</f>
        <v>48.1</v>
      </c>
      <c r="F24" s="14">
        <f>711.9-F23</f>
        <v>338.22</v>
      </c>
      <c r="G24" s="12">
        <f>C24/C23-1</f>
        <v>-0.014621583451026</v>
      </c>
      <c r="H24" s="12">
        <f>(E24+F24-C24)/C24</f>
        <v>-0.674293904392547</v>
      </c>
      <c r="I24" s="20">
        <f>AVERAGE(J21:J24)</f>
        <v>-0.634348277676811</v>
      </c>
      <c r="J24" s="20">
        <f>('Cashflow '!E25-'Cashflow '!C25)/'Cashflow '!C25</f>
        <v>-0.7111179183472029</v>
      </c>
    </row>
    <row r="25" ht="20.05" customHeight="1">
      <c r="B25" s="26"/>
      <c r="C25" s="13">
        <f>3406.6-SUM(C23:C24)</f>
        <v>1016.8</v>
      </c>
      <c r="D25" s="14">
        <v>1197.961</v>
      </c>
      <c r="E25" s="28">
        <f>1.2+139.2-SUM(E23:E24)</f>
        <v>43.9</v>
      </c>
      <c r="F25" s="14">
        <f>1009.9-SUM(F23:F24)</f>
        <v>298</v>
      </c>
      <c r="G25" s="12">
        <f>C25/C24-1</f>
        <v>-0.142736700109603</v>
      </c>
      <c r="H25" s="12">
        <f>(E25+F25-C25)/C25</f>
        <v>-0.663749016522423</v>
      </c>
      <c r="I25" s="20">
        <f>AVERAGE(J22:J25)</f>
        <v>-0.671874731713195</v>
      </c>
      <c r="J25" s="20">
        <f>('Cashflow '!E26-'Cashflow '!C26)/'Cashflow '!C26</f>
        <v>-0.730071942446043</v>
      </c>
    </row>
    <row r="26" ht="20.05" customHeight="1">
      <c r="B26" s="26"/>
      <c r="C26" s="13"/>
      <c r="D26" s="14">
        <f>'Model'!C6</f>
        <v>1087.976</v>
      </c>
      <c r="E26" s="14"/>
      <c r="F26" s="14"/>
      <c r="G26" s="12"/>
      <c r="H26" s="12">
        <f>'Model'!C7</f>
        <v>-0.663749016522423</v>
      </c>
      <c r="I26" s="18"/>
      <c r="J26" s="18"/>
    </row>
    <row r="27" ht="20.05" customHeight="1">
      <c r="B27" s="27">
        <v>2022</v>
      </c>
      <c r="C27" s="13"/>
      <c r="D27" s="14">
        <f>'Model'!D6</f>
        <v>1142.3748</v>
      </c>
      <c r="E27" s="14"/>
      <c r="F27" s="14"/>
      <c r="G27" s="12"/>
      <c r="H27" s="12"/>
      <c r="I27" s="18"/>
      <c r="J27" s="18"/>
    </row>
    <row r="28" ht="20.05" customHeight="1">
      <c r="B28" s="26"/>
      <c r="C28" s="13"/>
      <c r="D28" s="14">
        <f>'Model'!E6</f>
        <v>1108.103556</v>
      </c>
      <c r="E28" s="14"/>
      <c r="F28" s="14"/>
      <c r="G28" s="12"/>
      <c r="H28" s="12"/>
      <c r="I28" s="18"/>
      <c r="J28" s="18"/>
    </row>
    <row r="29" ht="20.05" customHeight="1">
      <c r="B29" s="26"/>
      <c r="C29" s="13"/>
      <c r="D29" s="14">
        <f>'Model'!F6</f>
        <v>1163.5087338</v>
      </c>
      <c r="E29" s="14"/>
      <c r="F29" s="14"/>
      <c r="G29" s="12"/>
      <c r="H29" s="12"/>
      <c r="I29" s="18"/>
      <c r="J29" s="18"/>
    </row>
  </sheetData>
  <mergeCells count="1">
    <mergeCell ref="B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3:J2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625" style="29" customWidth="1"/>
    <col min="2" max="2" width="9.96094" style="29" customWidth="1"/>
    <col min="3" max="10" width="11.1797" style="29" customWidth="1"/>
    <col min="11" max="16384" width="16.3516" style="29" customWidth="1"/>
  </cols>
  <sheetData>
    <row r="1" ht="13.85" customHeight="1"/>
    <row r="2" ht="27.65" customHeight="1">
      <c r="B2" t="s" s="2">
        <v>31</v>
      </c>
      <c r="C2" s="2"/>
      <c r="D2" s="2"/>
      <c r="E2" s="2"/>
      <c r="F2" s="2"/>
      <c r="G2" s="2"/>
      <c r="H2" s="2"/>
      <c r="I2" s="2"/>
      <c r="J2" s="2"/>
    </row>
    <row r="3" ht="46.75" customHeight="1">
      <c r="B3" t="s" s="4">
        <v>41</v>
      </c>
      <c r="C3" t="s" s="4">
        <v>46</v>
      </c>
      <c r="D3" t="s" s="4">
        <v>47</v>
      </c>
      <c r="E3" t="s" s="4">
        <v>8</v>
      </c>
      <c r="F3" t="s" s="4">
        <v>9</v>
      </c>
      <c r="G3" t="s" s="4">
        <v>10</v>
      </c>
      <c r="H3" t="s" s="4">
        <v>48</v>
      </c>
      <c r="I3" t="s" s="4">
        <v>31</v>
      </c>
      <c r="J3" t="s" s="4">
        <v>49</v>
      </c>
    </row>
    <row r="4" ht="21.4" customHeight="1">
      <c r="B4" s="22">
        <v>2016</v>
      </c>
      <c r="C4" s="30">
        <v>582.9</v>
      </c>
      <c r="D4" s="31"/>
      <c r="E4" s="31">
        <v>239.3</v>
      </c>
      <c r="F4" s="31">
        <v>-33.7</v>
      </c>
      <c r="G4" s="31">
        <v>0</v>
      </c>
      <c r="H4" s="32">
        <f>E4+F4</f>
        <v>205.6</v>
      </c>
      <c r="I4" s="32"/>
      <c r="J4" s="31">
        <f>-(G4)</f>
        <v>0</v>
      </c>
    </row>
    <row r="5" ht="21.2" customHeight="1">
      <c r="B5" s="26"/>
      <c r="C5" s="15">
        <v>660.6</v>
      </c>
      <c r="D5" s="16"/>
      <c r="E5" s="16">
        <v>258.3</v>
      </c>
      <c r="F5" s="16">
        <v>-138.2</v>
      </c>
      <c r="G5" s="16">
        <v>-363.8</v>
      </c>
      <c r="H5" s="33">
        <f>E5+F5</f>
        <v>120.1</v>
      </c>
      <c r="I5" s="33"/>
      <c r="J5" s="16">
        <f>-(G5)+J4</f>
        <v>363.8</v>
      </c>
    </row>
    <row r="6" ht="21.2" customHeight="1">
      <c r="B6" s="26"/>
      <c r="C6" s="15">
        <v>563.4</v>
      </c>
      <c r="D6" s="16"/>
      <c r="E6" s="16">
        <v>165.4</v>
      </c>
      <c r="F6" s="16">
        <v>-83.5</v>
      </c>
      <c r="G6" s="16">
        <v>0</v>
      </c>
      <c r="H6" s="33">
        <f>E6+F6</f>
        <v>81.90000000000001</v>
      </c>
      <c r="I6" s="33"/>
      <c r="J6" s="16">
        <f>-(G6)+J5</f>
        <v>363.8</v>
      </c>
    </row>
    <row r="7" ht="21.2" customHeight="1">
      <c r="B7" s="26"/>
      <c r="C7" s="15">
        <v>596.9</v>
      </c>
      <c r="D7" s="16"/>
      <c r="E7" s="16">
        <v>201.7</v>
      </c>
      <c r="F7" s="16">
        <v>-1211.3</v>
      </c>
      <c r="G7" s="16">
        <v>0</v>
      </c>
      <c r="H7" s="33">
        <f>E7+F7</f>
        <v>-1009.6</v>
      </c>
      <c r="I7" s="34"/>
      <c r="J7" s="16">
        <f>-(G7)+J6</f>
        <v>363.8</v>
      </c>
    </row>
    <row r="8" ht="21.2" customHeight="1">
      <c r="B8" s="27">
        <v>2017</v>
      </c>
      <c r="C8" s="15">
        <v>624.3</v>
      </c>
      <c r="D8" s="16">
        <v>-118</v>
      </c>
      <c r="E8" s="16">
        <v>205.2</v>
      </c>
      <c r="F8" s="16">
        <v>-881.3</v>
      </c>
      <c r="G8" s="16">
        <v>0</v>
      </c>
      <c r="H8" s="16">
        <f>E8+D8</f>
        <v>87.2</v>
      </c>
      <c r="I8" s="16">
        <f>AVERAGE(H5:H8)</f>
        <v>-180.1</v>
      </c>
      <c r="J8" s="16">
        <f>-(G8)+J7</f>
        <v>363.8</v>
      </c>
    </row>
    <row r="9" ht="21.2" customHeight="1">
      <c r="B9" s="26"/>
      <c r="C9" s="15">
        <v>602.4</v>
      </c>
      <c r="D9" s="16">
        <v>-118</v>
      </c>
      <c r="E9" s="16">
        <v>155</v>
      </c>
      <c r="F9" s="16">
        <v>366.3</v>
      </c>
      <c r="G9" s="16">
        <v>0</v>
      </c>
      <c r="H9" s="16">
        <f>E9+D9</f>
        <v>37</v>
      </c>
      <c r="I9" s="16">
        <f>AVERAGE(H6:H9)</f>
        <v>-200.875</v>
      </c>
      <c r="J9" s="16">
        <f>-(G9)+J8</f>
        <v>363.8</v>
      </c>
    </row>
    <row r="10" ht="21.2" customHeight="1">
      <c r="B10" s="26"/>
      <c r="C10" s="15">
        <v>604.5</v>
      </c>
      <c r="D10" s="16">
        <v>-118</v>
      </c>
      <c r="E10" s="16">
        <v>196.8</v>
      </c>
      <c r="F10" s="16">
        <v>116.5</v>
      </c>
      <c r="G10" s="16">
        <v>-494.7</v>
      </c>
      <c r="H10" s="16">
        <f>E10+D10</f>
        <v>78.8</v>
      </c>
      <c r="I10" s="16">
        <f>AVERAGE(H7:H10)</f>
        <v>-201.65</v>
      </c>
      <c r="J10" s="16">
        <f>-(G10)+J9</f>
        <v>858.5</v>
      </c>
    </row>
    <row r="11" ht="21.2" customHeight="1">
      <c r="B11" s="26"/>
      <c r="C11" s="15">
        <v>646.6</v>
      </c>
      <c r="D11" s="16">
        <v>-118</v>
      </c>
      <c r="E11" s="16">
        <v>212.7</v>
      </c>
      <c r="F11" s="16">
        <v>-428.1</v>
      </c>
      <c r="G11" s="16">
        <v>-126.9</v>
      </c>
      <c r="H11" s="16">
        <f>E11+D11</f>
        <v>94.7</v>
      </c>
      <c r="I11" s="16">
        <f>AVERAGE(H8:H11)</f>
        <v>74.425</v>
      </c>
      <c r="J11" s="16">
        <f>-(G11)+J10</f>
        <v>985.4</v>
      </c>
    </row>
    <row r="12" ht="21.2" customHeight="1">
      <c r="B12" s="27">
        <v>2018</v>
      </c>
      <c r="C12" s="15">
        <v>665.9</v>
      </c>
      <c r="D12" s="16">
        <v>-137</v>
      </c>
      <c r="E12" s="16">
        <v>197.7</v>
      </c>
      <c r="F12" s="16">
        <v>0.167</v>
      </c>
      <c r="G12" s="16">
        <v>-0.609</v>
      </c>
      <c r="H12" s="16">
        <f>E12+D12</f>
        <v>60.7</v>
      </c>
      <c r="I12" s="16">
        <f>AVERAGE(H9:H12)</f>
        <v>67.8</v>
      </c>
      <c r="J12" s="16">
        <f>-(G12)+J11</f>
        <v>986.009</v>
      </c>
    </row>
    <row r="13" ht="21.2" customHeight="1">
      <c r="B13" s="26"/>
      <c r="C13" s="15">
        <v>619.49</v>
      </c>
      <c r="D13" s="16">
        <v>-137</v>
      </c>
      <c r="E13" s="16">
        <v>122.418</v>
      </c>
      <c r="F13" s="16">
        <v>-217.237</v>
      </c>
      <c r="G13" s="16">
        <v>-248.491</v>
      </c>
      <c r="H13" s="16">
        <f>E13+D13</f>
        <v>-14.582</v>
      </c>
      <c r="I13" s="16">
        <f>AVERAGE(H10:H13)</f>
        <v>54.9045</v>
      </c>
      <c r="J13" s="16">
        <f>-(G13)+J12</f>
        <v>1234.5</v>
      </c>
    </row>
    <row r="14" ht="21.2" customHeight="1">
      <c r="B14" s="26"/>
      <c r="C14" s="15">
        <v>666.51</v>
      </c>
      <c r="D14" s="16">
        <v>-137</v>
      </c>
      <c r="E14" s="16">
        <v>233.382</v>
      </c>
      <c r="F14" s="16">
        <v>28.67</v>
      </c>
      <c r="G14" s="16">
        <v>-55.4</v>
      </c>
      <c r="H14" s="16">
        <f>E14+D14</f>
        <v>96.38200000000001</v>
      </c>
      <c r="I14" s="16">
        <f>AVERAGE(H11:H14)</f>
        <v>59.3</v>
      </c>
      <c r="J14" s="16">
        <f>-(G14)+J13</f>
        <v>1289.9</v>
      </c>
    </row>
    <row r="15" ht="21.2" customHeight="1">
      <c r="B15" s="26"/>
      <c r="C15" s="15">
        <v>653.8</v>
      </c>
      <c r="D15" s="16">
        <v>-137</v>
      </c>
      <c r="E15" s="16">
        <v>189.7</v>
      </c>
      <c r="F15" s="16">
        <v>-120.19</v>
      </c>
      <c r="G15" s="16">
        <v>-42.5</v>
      </c>
      <c r="H15" s="16">
        <f>E15+D15</f>
        <v>52.7</v>
      </c>
      <c r="I15" s="16">
        <f>AVERAGE(H12:H15)</f>
        <v>48.8</v>
      </c>
      <c r="J15" s="16">
        <f>-(G15)+J14</f>
        <v>1332.4</v>
      </c>
    </row>
    <row r="16" ht="21.2" customHeight="1">
      <c r="B16" s="27">
        <v>2019</v>
      </c>
      <c r="C16" s="15">
        <v>748.5</v>
      </c>
      <c r="D16" s="16">
        <v>-116</v>
      </c>
      <c r="E16" s="16">
        <v>291</v>
      </c>
      <c r="F16" s="16">
        <v>-202.6</v>
      </c>
      <c r="G16" s="16">
        <v>-94.8</v>
      </c>
      <c r="H16" s="16">
        <f>E16+D16</f>
        <v>175</v>
      </c>
      <c r="I16" s="16">
        <f>AVERAGE(H13:H16)</f>
        <v>77.375</v>
      </c>
      <c r="J16" s="16">
        <f>-(G16)+J15</f>
        <v>1427.2</v>
      </c>
    </row>
    <row r="17" ht="21.2" customHeight="1">
      <c r="B17" s="26"/>
      <c r="C17" s="15">
        <v>760.1</v>
      </c>
      <c r="D17" s="16">
        <v>-116</v>
      </c>
      <c r="E17" s="16">
        <v>171.3</v>
      </c>
      <c r="F17" s="16">
        <v>-191.6</v>
      </c>
      <c r="G17" s="16">
        <v>-126.9</v>
      </c>
      <c r="H17" s="16">
        <f>E17+D17</f>
        <v>55.3</v>
      </c>
      <c r="I17" s="16">
        <f>AVERAGE(H14:H17)</f>
        <v>94.8455</v>
      </c>
      <c r="J17" s="16">
        <f>-(G17)+J16</f>
        <v>1554.1</v>
      </c>
    </row>
    <row r="18" ht="21.2" customHeight="1">
      <c r="B18" s="26"/>
      <c r="C18" s="15">
        <v>790.4</v>
      </c>
      <c r="D18" s="16">
        <v>-116</v>
      </c>
      <c r="E18" s="16">
        <v>254.8</v>
      </c>
      <c r="F18" s="16">
        <v>-54</v>
      </c>
      <c r="G18" s="16">
        <v>-264.1</v>
      </c>
      <c r="H18" s="16">
        <f>E18+D18</f>
        <v>138.8</v>
      </c>
      <c r="I18" s="16">
        <f>AVERAGE(H15:H18)</f>
        <v>105.45</v>
      </c>
      <c r="J18" s="16">
        <f>-(G18)+J17</f>
        <v>1818.2</v>
      </c>
    </row>
    <row r="19" ht="21.2" customHeight="1">
      <c r="B19" s="26"/>
      <c r="C19" s="15">
        <v>773.2</v>
      </c>
      <c r="D19" s="16">
        <v>-116</v>
      </c>
      <c r="E19" s="16">
        <v>177.1</v>
      </c>
      <c r="F19" s="16">
        <v>-227</v>
      </c>
      <c r="G19" s="16">
        <v>4.6</v>
      </c>
      <c r="H19" s="16">
        <f>E19+D19</f>
        <v>61.1</v>
      </c>
      <c r="I19" s="16">
        <f>AVERAGE(H16:H19)</f>
        <v>107.55</v>
      </c>
      <c r="J19" s="16">
        <f>-(G19)+J18</f>
        <v>1813.6</v>
      </c>
    </row>
    <row r="20" ht="21.2" customHeight="1">
      <c r="B20" s="27">
        <v>2020</v>
      </c>
      <c r="C20" s="15">
        <v>894.5</v>
      </c>
      <c r="D20" s="16">
        <v>-85</v>
      </c>
      <c r="E20" s="16">
        <v>318.4</v>
      </c>
      <c r="F20" s="16">
        <v>-80.5</v>
      </c>
      <c r="G20" s="16">
        <v>-11.7</v>
      </c>
      <c r="H20" s="16">
        <f>E20+D20</f>
        <v>233.4</v>
      </c>
      <c r="I20" s="16">
        <f>AVERAGE(H17:H20)</f>
        <v>122.15</v>
      </c>
      <c r="J20" s="16">
        <f>-(G20)+J19</f>
        <v>1825.3</v>
      </c>
    </row>
    <row r="21" ht="21.2" customHeight="1">
      <c r="B21" s="26"/>
      <c r="C21" s="15">
        <v>587.2</v>
      </c>
      <c r="D21" s="16">
        <v>-85</v>
      </c>
      <c r="E21" s="16">
        <v>93.5</v>
      </c>
      <c r="F21" s="16">
        <v>84.59999999999999</v>
      </c>
      <c r="G21" s="16">
        <v>-1.8</v>
      </c>
      <c r="H21" s="16">
        <f>E21+D21</f>
        <v>8.5</v>
      </c>
      <c r="I21" s="16">
        <f>AVERAGE(H18:H21)</f>
        <v>110.45</v>
      </c>
      <c r="J21" s="16">
        <f>-(G21)+J20</f>
        <v>1827.1</v>
      </c>
    </row>
    <row r="22" ht="21.2" customHeight="1">
      <c r="B22" s="26"/>
      <c r="C22" s="15">
        <v>826.6</v>
      </c>
      <c r="D22" s="16">
        <v>-85</v>
      </c>
      <c r="E22" s="16">
        <v>347.2</v>
      </c>
      <c r="F22" s="16">
        <v>-64.90000000000001</v>
      </c>
      <c r="G22" s="16">
        <v>-299.1</v>
      </c>
      <c r="H22" s="16">
        <f>E22+D22</f>
        <v>262.2</v>
      </c>
      <c r="I22" s="16">
        <f>AVERAGE(H19:H22)</f>
        <v>141.3</v>
      </c>
      <c r="J22" s="16">
        <f>-(G22)+J21</f>
        <v>2126.2</v>
      </c>
    </row>
    <row r="23" ht="21.2" customHeight="1">
      <c r="B23" s="26"/>
      <c r="C23" s="15">
        <v>955.8</v>
      </c>
      <c r="D23" s="16">
        <v>-85</v>
      </c>
      <c r="E23" s="16">
        <v>307</v>
      </c>
      <c r="F23" s="16">
        <v>-562.8</v>
      </c>
      <c r="G23" s="16">
        <v>6.6</v>
      </c>
      <c r="H23" s="16">
        <f>E23+D23</f>
        <v>222</v>
      </c>
      <c r="I23" s="16">
        <f>AVERAGE(H20:H23)</f>
        <v>181.525</v>
      </c>
      <c r="J23" s="16">
        <f>-(G23)+J22</f>
        <v>2119.6</v>
      </c>
    </row>
    <row r="24" ht="21.2" customHeight="1">
      <c r="B24" s="27">
        <v>2021</v>
      </c>
      <c r="C24" s="15">
        <v>1105.68</v>
      </c>
      <c r="D24" s="16">
        <v>-124</v>
      </c>
      <c r="E24" s="16">
        <v>478.2</v>
      </c>
      <c r="F24" s="16">
        <v>-83.25</v>
      </c>
      <c r="G24" s="16">
        <v>0</v>
      </c>
      <c r="H24" s="16">
        <f>E24+D24</f>
        <v>354.2</v>
      </c>
      <c r="I24" s="16">
        <f>AVERAGE(H21:H24)</f>
        <v>211.725</v>
      </c>
      <c r="J24" s="16">
        <f>-(G24)+J23</f>
        <v>2119.6</v>
      </c>
    </row>
    <row r="25" ht="21.2" customHeight="1">
      <c r="B25" s="26"/>
      <c r="C25" s="15">
        <f>2280.9-C24</f>
        <v>1175.22</v>
      </c>
      <c r="D25" s="16">
        <v>-124</v>
      </c>
      <c r="E25" s="16">
        <f>817.7-E24</f>
        <v>339.5</v>
      </c>
      <c r="F25" s="16">
        <f>171-F24</f>
        <v>254.25</v>
      </c>
      <c r="G25" s="16">
        <f>0</f>
        <v>0</v>
      </c>
      <c r="H25" s="16">
        <f>E25+D25</f>
        <v>215.5</v>
      </c>
      <c r="I25" s="16">
        <f>AVERAGE(H22:H25)</f>
        <v>263.475</v>
      </c>
      <c r="J25" s="16">
        <f>-(G25)+J24</f>
        <v>2119.6</v>
      </c>
    </row>
    <row r="26" ht="21.2" customHeight="1">
      <c r="B26" s="26"/>
      <c r="C26" s="15">
        <f>3323.4-SUM(C24:C25)</f>
        <v>1042.5</v>
      </c>
      <c r="D26" s="16">
        <f>-173-227.2-SUM(D24:D25)</f>
        <v>-152.2</v>
      </c>
      <c r="E26" s="16">
        <f>1099.1-SUM(E24:E25)</f>
        <v>281.4</v>
      </c>
      <c r="F26" s="16">
        <f>493.6-SUM(F24:F25)</f>
        <v>322.6</v>
      </c>
      <c r="G26" s="16">
        <f>-680.7-SUM(G24:G25)</f>
        <v>-680.7</v>
      </c>
      <c r="H26" s="16">
        <f>E26+D26</f>
        <v>129.2</v>
      </c>
      <c r="I26" s="16">
        <f>AVERAGE(H23:H26)</f>
        <v>230.225</v>
      </c>
      <c r="J26" s="16">
        <f>-(G26)+J25</f>
        <v>2800.3</v>
      </c>
    </row>
    <row r="27" ht="21.2" customHeight="1">
      <c r="B27" s="26"/>
      <c r="C27" s="15"/>
      <c r="D27" s="16"/>
      <c r="E27" s="16"/>
      <c r="F27" s="16"/>
      <c r="G27" s="16"/>
      <c r="H27" s="16"/>
      <c r="I27" s="16">
        <f>SUM('Model'!F9:F10)</f>
        <v>267.230956025</v>
      </c>
      <c r="J27" s="16">
        <f>'Model'!F32</f>
        <v>3818.089516525</v>
      </c>
    </row>
  </sheetData>
  <mergeCells count="1">
    <mergeCell ref="B2:J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96875" style="35" customWidth="1"/>
    <col min="2" max="2" width="9.21875" style="35" customWidth="1"/>
    <col min="3" max="11" width="9.71094" style="35" customWidth="1"/>
    <col min="12" max="16384" width="16.3516" style="35" customWidth="1"/>
  </cols>
  <sheetData>
    <row r="1" ht="7.55" customHeight="1"/>
    <row r="2" ht="27.65" customHeight="1">
      <c r="B2" t="s" s="2">
        <v>20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41</v>
      </c>
      <c r="C3" t="s" s="4">
        <v>50</v>
      </c>
      <c r="D3" t="s" s="4">
        <v>51</v>
      </c>
      <c r="E3" t="s" s="4">
        <v>21</v>
      </c>
      <c r="F3" t="s" s="4">
        <v>22</v>
      </c>
      <c r="G3" t="s" s="4">
        <v>11</v>
      </c>
      <c r="H3" t="s" s="4">
        <v>12</v>
      </c>
      <c r="I3" t="s" s="4">
        <v>52</v>
      </c>
      <c r="J3" t="s" s="4">
        <v>25</v>
      </c>
      <c r="K3" t="s" s="4">
        <v>33</v>
      </c>
    </row>
    <row r="4" ht="20.25" customHeight="1">
      <c r="B4" s="22">
        <v>2016</v>
      </c>
      <c r="C4" s="30">
        <v>2594</v>
      </c>
      <c r="D4" s="31">
        <v>3958</v>
      </c>
      <c r="E4" s="31">
        <f>D4-C4</f>
        <v>1364</v>
      </c>
      <c r="F4" s="31">
        <f>687+1</f>
        <v>688</v>
      </c>
      <c r="G4" s="31">
        <v>487</v>
      </c>
      <c r="H4" s="31">
        <v>3471</v>
      </c>
      <c r="I4" s="31">
        <f>G4+H4-C4-E4</f>
        <v>0</v>
      </c>
      <c r="J4" s="31">
        <f>C4-G4</f>
        <v>2107</v>
      </c>
      <c r="K4" s="31"/>
    </row>
    <row r="5" ht="20.05" customHeight="1">
      <c r="B5" s="26"/>
      <c r="C5" s="15">
        <v>2350</v>
      </c>
      <c r="D5" s="16">
        <v>3821</v>
      </c>
      <c r="E5" s="16">
        <f>D5-C5</f>
        <v>1471</v>
      </c>
      <c r="F5" s="16">
        <f>711+1</f>
        <v>712</v>
      </c>
      <c r="G5" s="16">
        <v>515</v>
      </c>
      <c r="H5" s="16">
        <v>3306</v>
      </c>
      <c r="I5" s="16">
        <f>G5+H5-C5-E5</f>
        <v>0</v>
      </c>
      <c r="J5" s="16">
        <f>C5-G5</f>
        <v>1835</v>
      </c>
      <c r="K5" s="16"/>
    </row>
    <row r="6" ht="20.05" customHeight="1">
      <c r="B6" s="26"/>
      <c r="C6" s="15">
        <v>2432</v>
      </c>
      <c r="D6" s="16">
        <v>3973</v>
      </c>
      <c r="E6" s="16">
        <f>D6-C6</f>
        <v>1541</v>
      </c>
      <c r="F6" s="16">
        <f>736+1</f>
        <v>737</v>
      </c>
      <c r="G6" s="16">
        <v>500</v>
      </c>
      <c r="H6" s="16">
        <v>3473</v>
      </c>
      <c r="I6" s="16">
        <f>G6+H6-C6-E6</f>
        <v>0</v>
      </c>
      <c r="J6" s="16">
        <f>C6-G6</f>
        <v>1932</v>
      </c>
      <c r="K6" s="16"/>
    </row>
    <row r="7" ht="20.05" customHeight="1">
      <c r="B7" s="26"/>
      <c r="C7" s="15">
        <v>1422</v>
      </c>
      <c r="D7" s="16">
        <v>4176</v>
      </c>
      <c r="E7" s="16">
        <f>D7-C7</f>
        <v>2754</v>
      </c>
      <c r="F7" s="16">
        <f>762+1</f>
        <v>763</v>
      </c>
      <c r="G7" s="16">
        <v>540</v>
      </c>
      <c r="H7" s="16">
        <v>3636</v>
      </c>
      <c r="I7" s="16">
        <f>G7+H7-C7-E7</f>
        <v>0</v>
      </c>
      <c r="J7" s="16">
        <f>C7-G7</f>
        <v>882</v>
      </c>
      <c r="K7" s="16"/>
    </row>
    <row r="8" ht="20.05" customHeight="1">
      <c r="B8" s="27">
        <v>2017</v>
      </c>
      <c r="C8" s="15">
        <v>745</v>
      </c>
      <c r="D8" s="16">
        <v>4365</v>
      </c>
      <c r="E8" s="16">
        <f>D8-C8</f>
        <v>3620</v>
      </c>
      <c r="F8" s="16">
        <f>790+1</f>
        <v>791</v>
      </c>
      <c r="G8" s="16">
        <v>536</v>
      </c>
      <c r="H8" s="16">
        <v>3829</v>
      </c>
      <c r="I8" s="16">
        <f>G8+H8-C8-E8</f>
        <v>0</v>
      </c>
      <c r="J8" s="16">
        <f>C8-G8</f>
        <v>209</v>
      </c>
      <c r="K8" s="16"/>
    </row>
    <row r="9" ht="20.05" customHeight="1">
      <c r="B9" s="26"/>
      <c r="C9" s="15">
        <v>1267</v>
      </c>
      <c r="D9" s="16">
        <v>4525</v>
      </c>
      <c r="E9" s="16">
        <f>D9-C9</f>
        <v>3258</v>
      </c>
      <c r="F9" s="16">
        <f>816+1</f>
        <v>817</v>
      </c>
      <c r="G9" s="16">
        <v>1027</v>
      </c>
      <c r="H9" s="16">
        <v>3498</v>
      </c>
      <c r="I9" s="16">
        <f>G9+H9-C9-E9</f>
        <v>0</v>
      </c>
      <c r="J9" s="16">
        <f>C9-G9</f>
        <v>240</v>
      </c>
      <c r="K9" s="16"/>
    </row>
    <row r="10" ht="20.05" customHeight="1">
      <c r="B10" s="26"/>
      <c r="C10" s="15">
        <v>1085</v>
      </c>
      <c r="D10" s="16">
        <v>4204</v>
      </c>
      <c r="E10" s="16">
        <f>D10-C10</f>
        <v>3119</v>
      </c>
      <c r="F10" s="16">
        <f>846+1</f>
        <v>847</v>
      </c>
      <c r="G10" s="16">
        <v>513</v>
      </c>
      <c r="H10" s="16">
        <v>3691</v>
      </c>
      <c r="I10" s="16">
        <f>G10+H10-C10-E10</f>
        <v>0</v>
      </c>
      <c r="J10" s="16">
        <f>C10-G10</f>
        <v>572</v>
      </c>
      <c r="K10" s="16"/>
    </row>
    <row r="11" ht="20.05" customHeight="1">
      <c r="B11" s="26"/>
      <c r="C11" s="15">
        <v>743</v>
      </c>
      <c r="D11" s="16">
        <v>4712</v>
      </c>
      <c r="E11" s="16">
        <f>D11-C11</f>
        <v>3969</v>
      </c>
      <c r="F11" s="16">
        <f>952+1.5</f>
        <v>953.5</v>
      </c>
      <c r="G11" s="16">
        <v>682</v>
      </c>
      <c r="H11" s="16">
        <v>4030</v>
      </c>
      <c r="I11" s="16">
        <f>G11+H11-C11-E11</f>
        <v>0</v>
      </c>
      <c r="J11" s="16">
        <f>C11-G11</f>
        <v>61</v>
      </c>
      <c r="K11" s="16"/>
    </row>
    <row r="12" ht="20.05" customHeight="1">
      <c r="B12" s="27">
        <v>2018</v>
      </c>
      <c r="C12" s="15">
        <v>940</v>
      </c>
      <c r="D12" s="16">
        <v>4900</v>
      </c>
      <c r="E12" s="16">
        <f>D12-C12</f>
        <v>3960</v>
      </c>
      <c r="F12" s="16">
        <f>983+2</f>
        <v>985</v>
      </c>
      <c r="G12" s="16">
        <v>689</v>
      </c>
      <c r="H12" s="16">
        <v>4211</v>
      </c>
      <c r="I12" s="16">
        <f>G12+H12-C12-E12</f>
        <v>0</v>
      </c>
      <c r="J12" s="16">
        <f>C12-G12</f>
        <v>251</v>
      </c>
      <c r="K12" s="16"/>
    </row>
    <row r="13" ht="20.05" customHeight="1">
      <c r="B13" s="26"/>
      <c r="C13" s="15">
        <v>597</v>
      </c>
      <c r="D13" s="16">
        <v>4791</v>
      </c>
      <c r="E13" s="16">
        <f>D13-C13</f>
        <v>4194</v>
      </c>
      <c r="F13" s="16">
        <f>1014+2</f>
        <v>1016</v>
      </c>
      <c r="G13" s="16">
        <v>652</v>
      </c>
      <c r="H13" s="16">
        <v>4139</v>
      </c>
      <c r="I13" s="16">
        <f>G13+H13-C13-E13</f>
        <v>0</v>
      </c>
      <c r="J13" s="16">
        <f>C13-G13</f>
        <v>-55</v>
      </c>
      <c r="K13" s="16"/>
    </row>
    <row r="14" ht="20.05" customHeight="1">
      <c r="B14" s="26"/>
      <c r="C14" s="15">
        <v>804</v>
      </c>
      <c r="D14" s="16">
        <v>4976</v>
      </c>
      <c r="E14" s="16">
        <f>D14-C14</f>
        <v>4172</v>
      </c>
      <c r="F14" s="16">
        <f>1047+2</f>
        <v>1049</v>
      </c>
      <c r="G14" s="16">
        <v>718</v>
      </c>
      <c r="H14" s="16">
        <v>4258</v>
      </c>
      <c r="I14" s="16">
        <f>G14+H14-C14-E14</f>
        <v>0</v>
      </c>
      <c r="J14" s="16">
        <f>C14-G14</f>
        <v>86</v>
      </c>
      <c r="K14" s="16"/>
    </row>
    <row r="15" ht="20.05" customHeight="1">
      <c r="B15" s="26"/>
      <c r="C15" s="15">
        <v>831</v>
      </c>
      <c r="D15" s="16">
        <v>5089</v>
      </c>
      <c r="E15" s="16">
        <f>D15-C15</f>
        <v>4258</v>
      </c>
      <c r="F15" s="16">
        <f>1086+2</f>
        <v>1088</v>
      </c>
      <c r="G15" s="16">
        <v>639</v>
      </c>
      <c r="H15" s="16">
        <v>4450</v>
      </c>
      <c r="I15" s="16">
        <f>G15+H15-C15-E15</f>
        <v>0</v>
      </c>
      <c r="J15" s="16">
        <f>C15-G15</f>
        <v>192</v>
      </c>
      <c r="K15" s="16"/>
    </row>
    <row r="16" ht="20.05" customHeight="1">
      <c r="B16" s="27">
        <v>2019</v>
      </c>
      <c r="C16" s="15">
        <v>824</v>
      </c>
      <c r="D16" s="16">
        <v>5418</v>
      </c>
      <c r="E16" s="16">
        <f>D16-C16</f>
        <v>4594</v>
      </c>
      <c r="F16" s="16">
        <f>1125+2</f>
        <v>1127</v>
      </c>
      <c r="G16" s="16">
        <v>782</v>
      </c>
      <c r="H16" s="16">
        <v>4636</v>
      </c>
      <c r="I16" s="16">
        <f>G16+H16-C16-E16</f>
        <v>0</v>
      </c>
      <c r="J16" s="16">
        <f>C16-G16</f>
        <v>42</v>
      </c>
      <c r="K16" s="16"/>
    </row>
    <row r="17" ht="20.05" customHeight="1">
      <c r="B17" s="26"/>
      <c r="C17" s="15">
        <v>677</v>
      </c>
      <c r="D17" s="16">
        <v>5410</v>
      </c>
      <c r="E17" s="16">
        <f>D17-C17</f>
        <v>4733</v>
      </c>
      <c r="F17" s="16">
        <f>1164+2</f>
        <v>1166</v>
      </c>
      <c r="G17" s="16">
        <v>714</v>
      </c>
      <c r="H17" s="16">
        <v>4696</v>
      </c>
      <c r="I17" s="16">
        <f>G17+H17-C17-E17</f>
        <v>0</v>
      </c>
      <c r="J17" s="16">
        <f>C17-G17</f>
        <v>-37</v>
      </c>
      <c r="K17" s="16"/>
    </row>
    <row r="18" ht="20.05" customHeight="1">
      <c r="B18" s="26"/>
      <c r="C18" s="15">
        <v>614</v>
      </c>
      <c r="D18" s="16">
        <v>5399</v>
      </c>
      <c r="E18" s="16">
        <f>D18-C18</f>
        <v>4785</v>
      </c>
      <c r="F18" s="16">
        <f>2+1207</f>
        <v>1209</v>
      </c>
      <c r="G18" s="16">
        <v>758</v>
      </c>
      <c r="H18" s="16">
        <v>4641</v>
      </c>
      <c r="I18" s="16">
        <f>G18+H18-C18-E18</f>
        <v>0</v>
      </c>
      <c r="J18" s="16">
        <f>C18-G18</f>
        <v>-144</v>
      </c>
      <c r="K18" s="16"/>
    </row>
    <row r="19" ht="20.05" customHeight="1">
      <c r="B19" s="26"/>
      <c r="C19" s="15">
        <v>568</v>
      </c>
      <c r="D19" s="16">
        <v>5576</v>
      </c>
      <c r="E19" s="16">
        <f>D19-C19</f>
        <v>5008</v>
      </c>
      <c r="F19" s="16">
        <f>2+1246</f>
        <v>1248</v>
      </c>
      <c r="G19" s="16">
        <v>783</v>
      </c>
      <c r="H19" s="16">
        <v>4793</v>
      </c>
      <c r="I19" s="16">
        <f>G19+H19-C19-E19</f>
        <v>0</v>
      </c>
      <c r="J19" s="16">
        <f>C19-G19</f>
        <v>-215</v>
      </c>
      <c r="K19" s="16"/>
    </row>
    <row r="20" ht="20.05" customHeight="1">
      <c r="B20" s="27">
        <v>2020</v>
      </c>
      <c r="C20" s="15">
        <v>795</v>
      </c>
      <c r="D20" s="16">
        <v>5805</v>
      </c>
      <c r="E20" s="16">
        <f>D20-C20</f>
        <v>5010</v>
      </c>
      <c r="F20" s="16">
        <f>3+1291</f>
        <v>1294</v>
      </c>
      <c r="G20" s="16">
        <v>818</v>
      </c>
      <c r="H20" s="16">
        <v>4987</v>
      </c>
      <c r="I20" s="16">
        <f>G20+H20-C20-E20</f>
        <v>0</v>
      </c>
      <c r="J20" s="16">
        <f>C20-G20</f>
        <v>-23</v>
      </c>
      <c r="K20" s="16"/>
    </row>
    <row r="21" ht="20.05" customHeight="1">
      <c r="B21" s="26"/>
      <c r="C21" s="15">
        <v>971</v>
      </c>
      <c r="D21" s="16">
        <v>5859</v>
      </c>
      <c r="E21" s="16">
        <f>D21-C21</f>
        <v>4888</v>
      </c>
      <c r="F21" s="16">
        <f>3+1336</f>
        <v>1339</v>
      </c>
      <c r="G21" s="16">
        <v>1060</v>
      </c>
      <c r="H21" s="16">
        <v>4799</v>
      </c>
      <c r="I21" s="16">
        <f>G21+H21-C21-E21</f>
        <v>0</v>
      </c>
      <c r="J21" s="16">
        <f>C21-G21</f>
        <v>-89</v>
      </c>
      <c r="K21" s="16"/>
    </row>
    <row r="22" ht="20.05" customHeight="1">
      <c r="B22" s="26"/>
      <c r="C22" s="15">
        <v>954</v>
      </c>
      <c r="D22" s="16">
        <v>5877</v>
      </c>
      <c r="E22" s="16">
        <f>D22-C22</f>
        <v>4923</v>
      </c>
      <c r="F22" s="16">
        <f>1380+3</f>
        <v>1383</v>
      </c>
      <c r="G22" s="16">
        <v>822</v>
      </c>
      <c r="H22" s="16">
        <v>5055</v>
      </c>
      <c r="I22" s="16">
        <f>G22+H22-C22-E22</f>
        <v>0</v>
      </c>
      <c r="J22" s="16">
        <f>C22-G22</f>
        <v>132</v>
      </c>
      <c r="K22" s="16"/>
    </row>
    <row r="23" ht="20.05" customHeight="1">
      <c r="B23" s="26"/>
      <c r="C23" s="15">
        <v>705</v>
      </c>
      <c r="D23" s="16">
        <v>6372</v>
      </c>
      <c r="E23" s="16">
        <f>D23-C23</f>
        <v>5667</v>
      </c>
      <c r="F23" s="16">
        <f>3+1409</f>
        <v>1412</v>
      </c>
      <c r="G23" s="16">
        <v>855</v>
      </c>
      <c r="H23" s="16">
        <v>5517</v>
      </c>
      <c r="I23" s="16">
        <f>G23+H23-C23-E23</f>
        <v>0</v>
      </c>
      <c r="J23" s="16">
        <f>C23-G23</f>
        <v>-150</v>
      </c>
      <c r="K23" s="16"/>
    </row>
    <row r="24" ht="20.05" customHeight="1">
      <c r="B24" s="27">
        <v>2021</v>
      </c>
      <c r="C24" s="15">
        <v>1100</v>
      </c>
      <c r="D24" s="16">
        <v>6862</v>
      </c>
      <c r="E24" s="16">
        <f>D24-C24</f>
        <v>5762</v>
      </c>
      <c r="F24" s="16">
        <f>1457+3</f>
        <v>1460</v>
      </c>
      <c r="G24" s="16">
        <v>967</v>
      </c>
      <c r="H24" s="16">
        <v>5895</v>
      </c>
      <c r="I24" s="16">
        <f>G24+H24-C24-E24</f>
        <v>0</v>
      </c>
      <c r="J24" s="16">
        <f>C24-G24</f>
        <v>133</v>
      </c>
      <c r="K24" s="16"/>
    </row>
    <row r="25" ht="20.05" customHeight="1">
      <c r="B25" s="26"/>
      <c r="C25" s="15">
        <v>1694</v>
      </c>
      <c r="D25" s="16">
        <v>7066</v>
      </c>
      <c r="E25" s="16">
        <f>D25-C25</f>
        <v>5372</v>
      </c>
      <c r="F25" s="16">
        <f>4+1504</f>
        <v>1508</v>
      </c>
      <c r="G25" s="16">
        <v>868</v>
      </c>
      <c r="H25" s="16">
        <v>6198</v>
      </c>
      <c r="I25" s="16">
        <f>G25+H25-C25-E25</f>
        <v>0</v>
      </c>
      <c r="J25" s="16">
        <f>C25-G25</f>
        <v>826</v>
      </c>
      <c r="K25" s="16"/>
    </row>
    <row r="26" ht="20.05" customHeight="1">
      <c r="B26" s="26"/>
      <c r="C26" s="15">
        <v>1617</v>
      </c>
      <c r="D26" s="16">
        <v>6705</v>
      </c>
      <c r="E26" s="16">
        <f>D26-C26</f>
        <v>5088</v>
      </c>
      <c r="F26" s="16">
        <f>1546+3</f>
        <v>1549</v>
      </c>
      <c r="G26" s="16">
        <v>902</v>
      </c>
      <c r="H26" s="16">
        <v>5803</v>
      </c>
      <c r="I26" s="16">
        <f>G26+H26-C26-E26</f>
        <v>0</v>
      </c>
      <c r="J26" s="16">
        <f>C26-G26</f>
        <v>715</v>
      </c>
      <c r="K26" s="16">
        <f>J26</f>
        <v>715</v>
      </c>
    </row>
    <row r="27" ht="20.05" customHeight="1">
      <c r="B27" s="26"/>
      <c r="C27" s="15"/>
      <c r="D27" s="16"/>
      <c r="E27" s="16"/>
      <c r="F27" s="16"/>
      <c r="G27" s="16"/>
      <c r="H27" s="16"/>
      <c r="I27" s="16"/>
      <c r="J27" s="16"/>
      <c r="K27" s="16">
        <f>'Model'!F30</f>
        <v>796.0568549575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7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2578" style="36" customWidth="1"/>
    <col min="2" max="4" width="9.9375" style="36" customWidth="1"/>
    <col min="5" max="16384" width="16.3516" style="36" customWidth="1"/>
  </cols>
  <sheetData>
    <row r="1" ht="30.75" customHeight="1"/>
    <row r="2" ht="27.65" customHeight="1">
      <c r="B2" t="s" s="2">
        <v>53</v>
      </c>
      <c r="C2" s="2"/>
      <c r="D2" s="2"/>
    </row>
    <row r="3" ht="20.25" customHeight="1">
      <c r="B3" s="5"/>
      <c r="C3" t="s" s="37">
        <v>54</v>
      </c>
      <c r="D3" t="s" s="37">
        <v>36</v>
      </c>
    </row>
    <row r="4" ht="20.25" customHeight="1">
      <c r="B4" s="22">
        <v>2016</v>
      </c>
      <c r="C4" s="38">
        <v>2175</v>
      </c>
      <c r="D4" s="8"/>
    </row>
    <row r="5" ht="20.05" customHeight="1">
      <c r="B5" s="26"/>
      <c r="C5" s="39">
        <v>2150</v>
      </c>
      <c r="D5" s="18"/>
    </row>
    <row r="6" ht="20.05" customHeight="1">
      <c r="B6" s="26"/>
      <c r="C6" s="39">
        <v>2425</v>
      </c>
      <c r="D6" s="18"/>
    </row>
    <row r="7" ht="20.05" customHeight="1">
      <c r="B7" s="26"/>
      <c r="C7" s="39">
        <v>2655</v>
      </c>
      <c r="D7" s="18"/>
    </row>
    <row r="8" ht="20.05" customHeight="1">
      <c r="B8" s="26"/>
      <c r="C8" s="39">
        <v>2350</v>
      </c>
      <c r="D8" s="18"/>
    </row>
    <row r="9" ht="20.05" customHeight="1">
      <c r="B9" s="26"/>
      <c r="C9" s="39">
        <v>2750</v>
      </c>
      <c r="D9" s="18"/>
    </row>
    <row r="10" ht="20.05" customHeight="1">
      <c r="B10" s="26"/>
      <c r="C10" s="39">
        <v>2540</v>
      </c>
      <c r="D10" s="18"/>
    </row>
    <row r="11" ht="20.05" customHeight="1">
      <c r="B11" s="26"/>
      <c r="C11" s="39">
        <v>2800</v>
      </c>
      <c r="D11" s="18"/>
    </row>
    <row r="12" ht="20.05" customHeight="1">
      <c r="B12" s="26"/>
      <c r="C12" s="39">
        <v>2790</v>
      </c>
      <c r="D12" s="18"/>
    </row>
    <row r="13" ht="20.05" customHeight="1">
      <c r="B13" s="26"/>
      <c r="C13" s="39">
        <v>2780</v>
      </c>
      <c r="D13" s="18"/>
    </row>
    <row r="14" ht="20.05" customHeight="1">
      <c r="B14" s="26"/>
      <c r="C14" s="39">
        <v>2500</v>
      </c>
      <c r="D14" s="18"/>
    </row>
    <row r="15" ht="20.05" customHeight="1">
      <c r="B15" s="26"/>
      <c r="C15" s="39">
        <v>2570</v>
      </c>
      <c r="D15" s="18"/>
    </row>
    <row r="16" ht="20.05" customHeight="1">
      <c r="B16" s="27">
        <v>2017</v>
      </c>
      <c r="C16" s="39">
        <v>2500</v>
      </c>
      <c r="D16" s="18"/>
    </row>
    <row r="17" ht="20.05" customHeight="1">
      <c r="B17" s="26"/>
      <c r="C17" s="39">
        <v>2550</v>
      </c>
      <c r="D17" s="18"/>
    </row>
    <row r="18" ht="20.05" customHeight="1">
      <c r="B18" s="26"/>
      <c r="C18" s="39">
        <v>2640</v>
      </c>
      <c r="D18" s="18"/>
    </row>
    <row r="19" ht="20.05" customHeight="1">
      <c r="B19" s="26"/>
      <c r="C19" s="39">
        <v>2540</v>
      </c>
      <c r="D19" s="18"/>
    </row>
    <row r="20" ht="20.05" customHeight="1">
      <c r="B20" s="26"/>
      <c r="C20" s="39">
        <v>2040</v>
      </c>
      <c r="D20" s="18"/>
    </row>
    <row r="21" ht="20.05" customHeight="1">
      <c r="B21" s="26"/>
      <c r="C21" s="39">
        <v>2000</v>
      </c>
      <c r="D21" s="18"/>
    </row>
    <row r="22" ht="20.05" customHeight="1">
      <c r="B22" s="26"/>
      <c r="C22" s="39">
        <v>2240</v>
      </c>
      <c r="D22" s="18"/>
    </row>
    <row r="23" ht="20.05" customHeight="1">
      <c r="B23" s="26"/>
      <c r="C23" s="39">
        <v>2270</v>
      </c>
      <c r="D23" s="18"/>
    </row>
    <row r="24" ht="20.05" customHeight="1">
      <c r="B24" s="26"/>
      <c r="C24" s="39">
        <v>2030</v>
      </c>
      <c r="D24" s="18"/>
    </row>
    <row r="25" ht="20.05" customHeight="1">
      <c r="B25" s="26"/>
      <c r="C25" s="39">
        <v>1860</v>
      </c>
      <c r="D25" s="18"/>
    </row>
    <row r="26" ht="20.05" customHeight="1">
      <c r="B26" s="26"/>
      <c r="C26" s="39">
        <v>1835</v>
      </c>
      <c r="D26" s="18"/>
    </row>
    <row r="27" ht="20.05" customHeight="1">
      <c r="B27" s="26"/>
      <c r="C27" s="39">
        <v>1810</v>
      </c>
      <c r="D27" s="18"/>
    </row>
    <row r="28" ht="20.05" customHeight="1">
      <c r="B28" s="27">
        <v>2018</v>
      </c>
      <c r="C28" s="39">
        <v>1905</v>
      </c>
      <c r="D28" s="18"/>
    </row>
    <row r="29" ht="20.05" customHeight="1">
      <c r="B29" s="26"/>
      <c r="C29" s="39">
        <v>2160</v>
      </c>
      <c r="D29" s="18"/>
    </row>
    <row r="30" ht="20.05" customHeight="1">
      <c r="B30" s="26"/>
      <c r="C30" s="39">
        <v>2090</v>
      </c>
      <c r="D30" s="18"/>
    </row>
    <row r="31" ht="20.05" customHeight="1">
      <c r="B31" s="26"/>
      <c r="C31" s="39">
        <v>1925</v>
      </c>
      <c r="D31" s="18"/>
    </row>
    <row r="32" ht="20.05" customHeight="1">
      <c r="B32" s="26"/>
      <c r="C32" s="39">
        <v>1795</v>
      </c>
      <c r="D32" s="18"/>
    </row>
    <row r="33" ht="20.05" customHeight="1">
      <c r="B33" s="26"/>
      <c r="C33" s="39">
        <v>1880</v>
      </c>
      <c r="D33" s="18"/>
    </row>
    <row r="34" ht="20.05" customHeight="1">
      <c r="B34" s="26"/>
      <c r="C34" s="39">
        <v>2000</v>
      </c>
      <c r="D34" s="18"/>
    </row>
    <row r="35" ht="20.05" customHeight="1">
      <c r="B35" s="26"/>
      <c r="C35" s="39">
        <v>1825</v>
      </c>
      <c r="D35" s="18"/>
    </row>
    <row r="36" ht="20.05" customHeight="1">
      <c r="B36" s="26"/>
      <c r="C36" s="39">
        <v>1745</v>
      </c>
      <c r="D36" s="18"/>
    </row>
    <row r="37" ht="20.05" customHeight="1">
      <c r="B37" s="26"/>
      <c r="C37" s="39">
        <v>1430</v>
      </c>
      <c r="D37" s="18"/>
    </row>
    <row r="38" ht="20.05" customHeight="1">
      <c r="B38" s="26"/>
      <c r="C38" s="39">
        <v>1590</v>
      </c>
      <c r="D38" s="18"/>
    </row>
    <row r="39" ht="20.05" customHeight="1">
      <c r="B39" s="26"/>
      <c r="C39" s="39">
        <v>1575</v>
      </c>
      <c r="D39" s="18"/>
    </row>
    <row r="40" ht="20.05" customHeight="1">
      <c r="B40" s="27">
        <v>2019</v>
      </c>
      <c r="C40" s="39">
        <v>1510</v>
      </c>
      <c r="D40" s="18"/>
    </row>
    <row r="41" ht="20.05" customHeight="1">
      <c r="B41" s="26"/>
      <c r="C41" s="39">
        <v>1940</v>
      </c>
      <c r="D41" s="18"/>
    </row>
    <row r="42" ht="20.05" customHeight="1">
      <c r="B42" s="26"/>
      <c r="C42" s="39">
        <v>1950</v>
      </c>
      <c r="D42" s="18"/>
    </row>
    <row r="43" ht="20.05" customHeight="1">
      <c r="B43" s="26"/>
      <c r="C43" s="39">
        <v>2160</v>
      </c>
      <c r="D43" s="18"/>
    </row>
    <row r="44" ht="20.05" customHeight="1">
      <c r="B44" s="26"/>
      <c r="C44" s="39">
        <v>1840</v>
      </c>
      <c r="D44" s="18"/>
    </row>
    <row r="45" ht="20.05" customHeight="1">
      <c r="B45" s="26"/>
      <c r="C45" s="39">
        <v>1895</v>
      </c>
      <c r="D45" s="18"/>
    </row>
    <row r="46" ht="20.05" customHeight="1">
      <c r="B46" s="26"/>
      <c r="C46" s="39">
        <v>2030</v>
      </c>
      <c r="D46" s="18"/>
    </row>
    <row r="47" ht="20.05" customHeight="1">
      <c r="B47" s="26"/>
      <c r="C47" s="39">
        <v>2550</v>
      </c>
      <c r="D47" s="18"/>
    </row>
    <row r="48" ht="20.05" customHeight="1">
      <c r="B48" s="26"/>
      <c r="C48" s="39">
        <v>2710</v>
      </c>
      <c r="D48" s="18"/>
    </row>
    <row r="49" ht="20.05" customHeight="1">
      <c r="B49" s="26"/>
      <c r="C49" s="39">
        <v>2600</v>
      </c>
      <c r="D49" s="18"/>
    </row>
    <row r="50" ht="20.05" customHeight="1">
      <c r="B50" s="26"/>
      <c r="C50" s="39">
        <v>2670</v>
      </c>
      <c r="D50" s="18"/>
    </row>
    <row r="51" ht="20.05" customHeight="1">
      <c r="B51" s="26"/>
      <c r="C51" s="39">
        <v>2670</v>
      </c>
      <c r="D51" s="18"/>
    </row>
    <row r="52" ht="20.05" customHeight="1">
      <c r="B52" s="27">
        <v>2020</v>
      </c>
      <c r="C52" s="39">
        <v>2600</v>
      </c>
      <c r="D52" s="18"/>
    </row>
    <row r="53" ht="20.05" customHeight="1">
      <c r="B53" s="26"/>
      <c r="C53" s="39">
        <v>2480</v>
      </c>
      <c r="D53" s="18"/>
    </row>
    <row r="54" ht="20.05" customHeight="1">
      <c r="B54" s="26"/>
      <c r="C54" s="39">
        <v>2150</v>
      </c>
      <c r="D54" s="18"/>
    </row>
    <row r="55" ht="20.05" customHeight="1">
      <c r="B55" s="26"/>
      <c r="C55" s="39">
        <v>1945</v>
      </c>
      <c r="D55" s="18"/>
    </row>
    <row r="56" ht="20.05" customHeight="1">
      <c r="B56" s="26"/>
      <c r="C56" s="39">
        <v>2370</v>
      </c>
      <c r="D56" s="18"/>
    </row>
    <row r="57" ht="20.05" customHeight="1">
      <c r="B57" s="26"/>
      <c r="C57" s="39">
        <v>2270</v>
      </c>
      <c r="D57" s="18"/>
    </row>
    <row r="58" ht="20.05" customHeight="1">
      <c r="B58" s="26"/>
      <c r="C58" s="39">
        <v>2400</v>
      </c>
      <c r="D58" s="18"/>
    </row>
    <row r="59" ht="20.05" customHeight="1">
      <c r="B59" s="26"/>
      <c r="C59" s="39">
        <v>2370</v>
      </c>
      <c r="D59" s="18"/>
    </row>
    <row r="60" ht="20.05" customHeight="1">
      <c r="B60" s="26"/>
      <c r="C60" s="39">
        <v>2450</v>
      </c>
      <c r="D60" s="18"/>
    </row>
    <row r="61" ht="20.05" customHeight="1">
      <c r="B61" s="26"/>
      <c r="C61" s="39">
        <v>2630</v>
      </c>
      <c r="D61" s="18"/>
    </row>
    <row r="62" ht="20.05" customHeight="1">
      <c r="B62" s="26"/>
      <c r="C62" s="39">
        <v>2700</v>
      </c>
      <c r="D62" s="18"/>
    </row>
    <row r="63" ht="20.05" customHeight="1">
      <c r="B63" s="26"/>
      <c r="C63" s="39">
        <v>2730</v>
      </c>
      <c r="D63" s="18"/>
    </row>
    <row r="64" ht="20.05" customHeight="1">
      <c r="B64" s="27">
        <v>2021</v>
      </c>
      <c r="C64" s="39">
        <v>2900</v>
      </c>
      <c r="D64" s="18"/>
    </row>
    <row r="65" ht="20.05" customHeight="1">
      <c r="B65" s="26"/>
      <c r="C65" s="39">
        <v>2970</v>
      </c>
      <c r="D65" s="40"/>
    </row>
    <row r="66" ht="20.05" customHeight="1">
      <c r="B66" s="26"/>
      <c r="C66" s="39">
        <v>2630</v>
      </c>
      <c r="D66" s="40"/>
    </row>
    <row r="67" ht="20.05" customHeight="1">
      <c r="B67" s="26"/>
      <c r="C67" s="39">
        <v>2620</v>
      </c>
      <c r="D67" s="40"/>
    </row>
    <row r="68" ht="20.05" customHeight="1">
      <c r="B68" s="26"/>
      <c r="C68" s="39">
        <v>2580</v>
      </c>
      <c r="D68" s="40"/>
    </row>
    <row r="69" ht="20.05" customHeight="1">
      <c r="B69" s="26"/>
      <c r="C69" s="39">
        <v>2800</v>
      </c>
      <c r="D69" s="40"/>
    </row>
    <row r="70" ht="20.05" customHeight="1">
      <c r="B70" s="26"/>
      <c r="C70" s="39">
        <v>2650</v>
      </c>
      <c r="D70" s="40"/>
    </row>
    <row r="71" ht="20.05" customHeight="1">
      <c r="B71" s="26"/>
      <c r="C71" s="39">
        <v>2330</v>
      </c>
      <c r="D71" s="40"/>
    </row>
    <row r="72" ht="20.05" customHeight="1">
      <c r="B72" s="26"/>
      <c r="C72" s="39">
        <v>2300</v>
      </c>
      <c r="D72" s="40"/>
    </row>
    <row r="73" ht="20.05" customHeight="1">
      <c r="B73" s="26"/>
      <c r="C73" s="39">
        <v>2280</v>
      </c>
      <c r="D73" s="40"/>
    </row>
    <row r="74" ht="20.05" customHeight="1">
      <c r="B74" s="26"/>
      <c r="C74" s="39">
        <v>2220</v>
      </c>
      <c r="D74" s="41">
        <f>C74</f>
        <v>2220</v>
      </c>
    </row>
    <row r="75" ht="20.05" customHeight="1">
      <c r="B75" s="26"/>
      <c r="C75" s="39"/>
      <c r="D75" s="41">
        <f>'Model'!F42</f>
        <v>2514.538805532350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