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<sst xmlns="http://schemas.openxmlformats.org/spreadsheetml/2006/main" uniqueCount="56">
  <si>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</si>
  <si>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Rpbn</t>
  </si>
  <si>
    <t>4Q 2021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</si>
  <si>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</si>
  <si>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</si>
  <si>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</si>
  <si>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</si>
  <si>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</si>
  <si>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</si>
  <si>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</si>
  <si>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</si>
  <si>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</si>
  <si>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</si>
  <si>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</si>
  <si>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</si>
  <si>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</si>
  <si>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</si>
  <si>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</si>
  <si>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</si>
  <si>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</si>
  <si>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</si>
  <si>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</si>
  <si>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</si>
  <si>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</si>
  <si>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</si>
  <si>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</si>
  <si>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</si>
  <si>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</si>
  <si>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</si>
  <si>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</si>
  <si>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>Current value</t>
  </si>
  <si>
    <t>P/assets</t>
  </si>
  <si>
    <t>Yield</t>
  </si>
  <si>
    <t xml:space="preserve">Payback </t>
  </si>
  <si>
    <t xml:space="preserve">Forecast </t>
  </si>
  <si>
    <t>Value</t>
  </si>
  <si>
    <t>Shares</t>
  </si>
  <si>
    <t xml:space="preserve">Target price </t>
  </si>
  <si>
    <t xml:space="preserve">Current </t>
  </si>
  <si>
    <t>V target</t>
  </si>
  <si>
    <t xml:space="preserve">12 month growth </t>
  </si>
  <si>
    <t xml:space="preserve">Sales forecasts </t>
  </si>
  <si>
    <t xml:space="preserve">Profit </t>
  </si>
  <si>
    <t xml:space="preserve">Sales growth </t>
  </si>
  <si>
    <t xml:space="preserve">Cashflow costs </t>
  </si>
  <si>
    <t>Cashflow</t>
  </si>
  <si>
    <t>Receipts</t>
  </si>
  <si>
    <t xml:space="preserve">Operating </t>
  </si>
  <si>
    <t xml:space="preserve">Investment </t>
  </si>
  <si>
    <t xml:space="preserve">Free cashflow </t>
  </si>
  <si>
    <t>Cash</t>
  </si>
  <si>
    <t>Assets</t>
  </si>
  <si>
    <t>Net debt</t>
  </si>
  <si>
    <t>Share price &amp; volume</t>
  </si>
  <si>
    <t>META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</si>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</sst>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_);[Red]\(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8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2" fillId="4" borderId="8" applyNumberFormat="0" applyFont="1" applyFill="1" applyBorder="1" applyAlignment="1" applyProtection="0">
      <alignment vertical="top" wrapText="1"/>
    </xf>
    <xf numFmtId="3" fontId="0" borderId="9" applyNumberFormat="1" applyFont="1" applyFill="0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533062</xdr:colOff>
      <xdr:row>1</xdr:row>
      <xdr:rowOff>332229</xdr:rowOff>
    </xdr:from>
    <xdr:to>
      <xdr:col>12</xdr:col>
      <xdr:colOff>1109784</xdr:colOff>
      <xdr:row>46</xdr:row>
      <xdr:rowOff>70099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62162" y="834514"/>
          <a:ext cx="8044323" cy="11319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91406" style="1" customWidth="1"/>
    <col min="2" max="2" width="15.6172" style="1" customWidth="1"/>
    <col min="3" max="6" width="8.05469" style="1" customWidth="1"/>
    <col min="7" max="16384" width="16.3516" style="1" customWidth="1"/>
  </cols>
  <sheetData>
    <row r="1" ht="39.5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3">
        <v>2</v>
      </c>
      <c r="D3" s="4"/>
      <c r="E3" s="4"/>
      <c r="F3" s="4"/>
    </row>
    <row r="4" ht="20.3" customHeight="1">
      <c r="B4" t="s" s="5">
        <v>3</v>
      </c>
      <c r="C4" s="6">
        <f>AVERAGE('Sales'!H27:H30)</f>
        <v>0.0481732287622785</v>
      </c>
      <c r="D4" s="7"/>
      <c r="E4" s="7"/>
      <c r="F4" s="8">
        <f>AVERAGE(C5:F5)</f>
        <v>0.03</v>
      </c>
    </row>
    <row r="5" ht="20.05" customHeight="1">
      <c r="B5" t="s" s="9">
        <v>4</v>
      </c>
      <c r="C5" s="10">
        <v>0.06</v>
      </c>
      <c r="D5" s="11">
        <v>-0.01</v>
      </c>
      <c r="E5" s="11">
        <v>0.03</v>
      </c>
      <c r="F5" s="11">
        <v>0.04</v>
      </c>
    </row>
    <row r="6" ht="20.05" customHeight="1">
      <c r="B6" t="s" s="9">
        <v>5</v>
      </c>
      <c r="C6" s="12">
        <f>'Sales'!C30*(1+C5)</f>
        <v>164.724</v>
      </c>
      <c r="D6" s="13">
        <f>C6*(1+D5)</f>
        <v>163.07676</v>
      </c>
      <c r="E6" s="13">
        <f>D6*(1+E5)</f>
        <v>167.9690628</v>
      </c>
      <c r="F6" s="13">
        <f>E6*(1+F5)</f>
        <v>174.687825312</v>
      </c>
    </row>
    <row r="7" ht="20.05" customHeight="1">
      <c r="B7" t="s" s="9">
        <v>6</v>
      </c>
      <c r="C7" s="14">
        <f>AVERAGE('Sales'!J30)</f>
        <v>-0.761748843192915</v>
      </c>
      <c r="D7" s="15">
        <f>C7</f>
        <v>-0.761748843192915</v>
      </c>
      <c r="E7" s="15">
        <f>D7</f>
        <v>-0.761748843192915</v>
      </c>
      <c r="F7" s="15">
        <f>E7</f>
        <v>-0.761748843192915</v>
      </c>
    </row>
    <row r="8" ht="20.05" customHeight="1">
      <c r="B8" t="s" s="9">
        <v>7</v>
      </c>
      <c r="C8" s="16">
        <f>C7*C6</f>
        <v>-125.478316446110</v>
      </c>
      <c r="D8" s="17">
        <f>D7*D6</f>
        <v>-124.223533281649</v>
      </c>
      <c r="E8" s="17">
        <f>E7*E6</f>
        <v>-127.950239280098</v>
      </c>
      <c r="F8" s="17">
        <f>F7*F6</f>
        <v>-133.068248851302</v>
      </c>
    </row>
    <row r="9" ht="20.1" customHeight="1">
      <c r="B9" t="s" s="9">
        <v>8</v>
      </c>
      <c r="C9" s="18">
        <f>C6+C8</f>
        <v>39.245683553890</v>
      </c>
      <c r="D9" s="19">
        <f>D6+D8</f>
        <v>38.853226718351</v>
      </c>
      <c r="E9" s="19">
        <f>E6+E8</f>
        <v>40.018823519902</v>
      </c>
      <c r="F9" s="19">
        <f>F6+F8</f>
        <v>41.619576460698</v>
      </c>
    </row>
    <row r="10" ht="20.05" customHeight="1">
      <c r="B10" t="s" s="9">
        <v>9</v>
      </c>
      <c r="C10" s="18">
        <f>'Cashflow'!E21</f>
        <v>-8.199999999999999</v>
      </c>
      <c r="D10" s="19">
        <f>C10</f>
        <v>-8.199999999999999</v>
      </c>
      <c r="E10" s="19">
        <f>D10</f>
        <v>-8.199999999999999</v>
      </c>
      <c r="F10" s="19">
        <f>E10</f>
        <v>-8.199999999999999</v>
      </c>
    </row>
    <row r="11" ht="20.1" customHeight="1">
      <c r="B11" t="s" s="9">
        <v>10</v>
      </c>
      <c r="C11" s="18">
        <f>C12+C13+C15</f>
        <v>-31.045683553890</v>
      </c>
      <c r="D11" s="19">
        <f>D12+D13+D15</f>
        <v>-30.653226718351</v>
      </c>
      <c r="E11" s="19">
        <f>E12+E13+E15</f>
        <v>-31.818823519902</v>
      </c>
      <c r="F11" s="19">
        <f>F12+F13+F15</f>
        <v>-33.419576460698</v>
      </c>
    </row>
    <row r="12" ht="20.1" customHeight="1">
      <c r="B12" t="s" s="9">
        <v>11</v>
      </c>
      <c r="C12" s="18">
        <f>-('Balance sheet'!G30)/20</f>
        <v>-166.95</v>
      </c>
      <c r="D12" s="19">
        <f>-C26/20</f>
        <v>-158.6025</v>
      </c>
      <c r="E12" s="19">
        <f>-D26/20</f>
        <v>-150.672375</v>
      </c>
      <c r="F12" s="19">
        <f>-E26/20</f>
        <v>-143.13875625</v>
      </c>
    </row>
    <row r="13" ht="20.1" customHeight="1">
      <c r="B13" t="s" s="9">
        <v>12</v>
      </c>
      <c r="C13" s="18">
        <f>IF(C21&gt;0,-C21*0,0)</f>
        <v>0</v>
      </c>
      <c r="D13" s="19">
        <f>IF(D21&gt;0,-D21*0,0)</f>
        <v>0</v>
      </c>
      <c r="E13" s="19">
        <f>IF(E21&gt;0,-E21*0,0)</f>
        <v>0</v>
      </c>
      <c r="F13" s="19">
        <f>IF(F21&gt;0,-F21*0,0)</f>
        <v>0</v>
      </c>
    </row>
    <row r="14" ht="20.05" customHeight="1">
      <c r="B14" t="s" s="9">
        <v>13</v>
      </c>
      <c r="C14" s="18">
        <f>C9+C10+C12+C13</f>
        <v>-135.904316446110</v>
      </c>
      <c r="D14" s="19">
        <f>D9+D10+D12+D13</f>
        <v>-127.949273281649</v>
      </c>
      <c r="E14" s="19">
        <f>E9+E10+E12+E13</f>
        <v>-118.853551480098</v>
      </c>
      <c r="F14" s="19">
        <f>F9+F10+F12+F13</f>
        <v>-109.719179789302</v>
      </c>
    </row>
    <row r="15" ht="20.1" customHeight="1">
      <c r="B15" t="s" s="9">
        <v>14</v>
      </c>
      <c r="C15" s="18">
        <f>-MIN(0,C14)</f>
        <v>135.904316446110</v>
      </c>
      <c r="D15" s="19">
        <f>-MIN(C27,D14)</f>
        <v>127.949273281649</v>
      </c>
      <c r="E15" s="19">
        <f>-MIN(D27,E14)</f>
        <v>118.853551480098</v>
      </c>
      <c r="F15" s="19">
        <f>-MIN(E27,F14)</f>
        <v>109.719179789302</v>
      </c>
    </row>
    <row r="16" ht="20.1" customHeight="1">
      <c r="B16" t="s" s="9">
        <v>15</v>
      </c>
      <c r="C16" s="18">
        <f>'Balance sheet'!C30</f>
        <v>308</v>
      </c>
      <c r="D16" s="19">
        <f>C18</f>
        <v>308</v>
      </c>
      <c r="E16" s="19">
        <f>D18</f>
        <v>308</v>
      </c>
      <c r="F16" s="19">
        <f>E18</f>
        <v>308</v>
      </c>
    </row>
    <row r="17" ht="20.1" customHeight="1">
      <c r="B17" t="s" s="9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1" customHeight="1">
      <c r="B18" t="s" s="9">
        <v>17</v>
      </c>
      <c r="C18" s="18">
        <f>C16+C17</f>
        <v>308</v>
      </c>
      <c r="D18" s="19">
        <f>D16+D17</f>
        <v>308</v>
      </c>
      <c r="E18" s="19">
        <f>E16+E17</f>
        <v>308</v>
      </c>
      <c r="F18" s="19">
        <f>F16+F17</f>
        <v>308</v>
      </c>
    </row>
    <row r="19" ht="20.1" customHeight="1">
      <c r="B19" t="s" s="20">
        <v>18</v>
      </c>
      <c r="C19" s="21"/>
      <c r="D19" s="22"/>
      <c r="E19" s="19"/>
      <c r="F19" s="19"/>
    </row>
    <row r="20" ht="20.1" customHeight="1">
      <c r="B20" t="s" s="9">
        <v>19</v>
      </c>
      <c r="C20" s="18">
        <f>-AVERAGE('Sales'!E30)</f>
        <v>-33.5</v>
      </c>
      <c r="D20" s="19">
        <f>C20</f>
        <v>-33.5</v>
      </c>
      <c r="E20" s="19">
        <f>D20</f>
        <v>-33.5</v>
      </c>
      <c r="F20" s="19">
        <f>E20</f>
        <v>-33.5</v>
      </c>
    </row>
    <row r="21" ht="20.1" customHeight="1">
      <c r="B21" t="s" s="9">
        <v>20</v>
      </c>
      <c r="C21" s="18">
        <f>C6+C8+C20</f>
        <v>5.745683553890</v>
      </c>
      <c r="D21" s="19">
        <f>D6+D8+D20</f>
        <v>5.353226718351</v>
      </c>
      <c r="E21" s="19">
        <f>E6+E8+E20</f>
        <v>6.518823519902</v>
      </c>
      <c r="F21" s="19">
        <f>F6+F8+F20</f>
        <v>8.119576460697999</v>
      </c>
    </row>
    <row r="22" ht="20.1" customHeight="1">
      <c r="B22" t="s" s="20">
        <v>21</v>
      </c>
      <c r="C22" s="21"/>
      <c r="D22" s="22"/>
      <c r="E22" s="19"/>
      <c r="F22" s="19"/>
    </row>
    <row r="23" ht="20.1" customHeight="1">
      <c r="B23" t="s" s="9">
        <v>22</v>
      </c>
      <c r="C23" s="18">
        <f>'Balance sheet'!E30+'Balance sheet'!F30-C10</f>
        <v>7515.2</v>
      </c>
      <c r="D23" s="19">
        <f>C23-D10</f>
        <v>7523.4</v>
      </c>
      <c r="E23" s="19">
        <f>D23-E10</f>
        <v>7531.6</v>
      </c>
      <c r="F23" s="19">
        <f>E23-F10</f>
        <v>7539.8</v>
      </c>
    </row>
    <row r="24" ht="20.1" customHeight="1">
      <c r="B24" t="s" s="9">
        <v>23</v>
      </c>
      <c r="C24" s="18">
        <f>'Balance sheet'!F30-C20</f>
        <v>1136.5</v>
      </c>
      <c r="D24" s="19">
        <f>C24-D20</f>
        <v>1170</v>
      </c>
      <c r="E24" s="19">
        <f>D24-E20</f>
        <v>1203.5</v>
      </c>
      <c r="F24" s="19">
        <f>E24-F20</f>
        <v>1237</v>
      </c>
    </row>
    <row r="25" ht="20.1" customHeight="1">
      <c r="B25" t="s" s="9">
        <v>24</v>
      </c>
      <c r="C25" s="18">
        <f>C23-C24</f>
        <v>6378.7</v>
      </c>
      <c r="D25" s="19">
        <f>D23-D24</f>
        <v>6353.4</v>
      </c>
      <c r="E25" s="19">
        <f>E23-E24</f>
        <v>6328.1</v>
      </c>
      <c r="F25" s="19">
        <f>F23-F24</f>
        <v>6302.8</v>
      </c>
    </row>
    <row r="26" ht="20.1" customHeight="1">
      <c r="B26" t="s" s="9">
        <v>11</v>
      </c>
      <c r="C26" s="18">
        <f>'Balance sheet'!G30+C12</f>
        <v>3172.05</v>
      </c>
      <c r="D26" s="19">
        <f>C26+D12</f>
        <v>3013.4475</v>
      </c>
      <c r="E26" s="19">
        <f>D26+E12</f>
        <v>2862.775125</v>
      </c>
      <c r="F26" s="19">
        <f>E26+F12</f>
        <v>2719.63636875</v>
      </c>
    </row>
    <row r="27" ht="20.1" customHeight="1">
      <c r="B27" t="s" s="9">
        <v>14</v>
      </c>
      <c r="C27" s="18">
        <f>C15</f>
        <v>135.904316446110</v>
      </c>
      <c r="D27" s="19">
        <f>C27+D15</f>
        <v>263.853589727759</v>
      </c>
      <c r="E27" s="19">
        <f>D27+E15</f>
        <v>382.707141207857</v>
      </c>
      <c r="F27" s="19">
        <f>E27+F15</f>
        <v>492.426320997159</v>
      </c>
    </row>
    <row r="28" ht="20.1" customHeight="1">
      <c r="B28" t="s" s="9">
        <v>25</v>
      </c>
      <c r="C28" s="18">
        <f>'Balance sheet'!H30+C21+C13</f>
        <v>3378.745683553890</v>
      </c>
      <c r="D28" s="19">
        <f>C28+D21+D13</f>
        <v>3384.098910272240</v>
      </c>
      <c r="E28" s="19">
        <f>D28+E21+E13</f>
        <v>3390.617733792140</v>
      </c>
      <c r="F28" s="19">
        <f>E28+F21+F13</f>
        <v>3398.737310252840</v>
      </c>
    </row>
    <row r="29" ht="20.1" customHeight="1">
      <c r="B29" t="s" s="9">
        <v>26</v>
      </c>
      <c r="C29" s="18">
        <f>C26+C27+C28-C18-C25</f>
        <v>0</v>
      </c>
      <c r="D29" s="19">
        <f>D26+D27+D28-D18-D25</f>
        <v>-1e-12</v>
      </c>
      <c r="E29" s="19">
        <f>E26+E27+E28-E18-E25</f>
        <v>-3e-12</v>
      </c>
      <c r="F29" s="19">
        <f>F26+F27+F28-F18-F25</f>
        <v>-1e-12</v>
      </c>
    </row>
    <row r="30" ht="20.1" customHeight="1">
      <c r="B30" t="s" s="9">
        <v>27</v>
      </c>
      <c r="C30" s="18">
        <f>C18-C26-C27</f>
        <v>-2999.954316446110</v>
      </c>
      <c r="D30" s="19">
        <f>D18-D26-D27</f>
        <v>-2969.301089727760</v>
      </c>
      <c r="E30" s="19">
        <f>E18-E26-E27</f>
        <v>-2937.482266207860</v>
      </c>
      <c r="F30" s="19">
        <f>F18-F26-F27</f>
        <v>-2904.062689747160</v>
      </c>
    </row>
    <row r="31" ht="20.1" customHeight="1">
      <c r="B31" t="s" s="20">
        <v>28</v>
      </c>
      <c r="C31" s="18"/>
      <c r="D31" s="19"/>
      <c r="E31" s="19"/>
      <c r="F31" s="19"/>
    </row>
    <row r="32" ht="20.1" customHeight="1">
      <c r="B32" t="s" s="9">
        <v>29</v>
      </c>
      <c r="C32" s="18">
        <f>'Cashflow'!K30-C11</f>
        <v>-2576.989316446110</v>
      </c>
      <c r="D32" s="19">
        <f>C32-D11</f>
        <v>-2546.336089727760</v>
      </c>
      <c r="E32" s="19">
        <f>D32-E11</f>
        <v>-2514.517266207860</v>
      </c>
      <c r="F32" s="19">
        <f>E32-F11</f>
        <v>-2481.097689747160</v>
      </c>
    </row>
    <row r="33" ht="20.1" customHeight="1">
      <c r="B33" t="s" s="9">
        <v>30</v>
      </c>
      <c r="C33" s="18"/>
      <c r="D33" s="19"/>
      <c r="E33" s="19"/>
      <c r="F33" s="19">
        <v>2010</v>
      </c>
    </row>
    <row r="34" ht="20.1" customHeight="1">
      <c r="B34" t="s" s="9">
        <v>31</v>
      </c>
      <c r="C34" s="18"/>
      <c r="D34" s="19"/>
      <c r="E34" s="19"/>
      <c r="F34" s="23">
        <f>F33/(F18+F25)</f>
        <v>0.304047921582864</v>
      </c>
    </row>
    <row r="35" ht="20.1" customHeight="1">
      <c r="B35" t="s" s="9">
        <v>32</v>
      </c>
      <c r="C35" s="18"/>
      <c r="D35" s="19"/>
      <c r="E35" s="19"/>
      <c r="F35" s="15">
        <f>-(C13+D13+E13+F13)/F33</f>
        <v>0</v>
      </c>
    </row>
    <row r="36" ht="20.1" customHeight="1">
      <c r="B36" t="s" s="9">
        <v>3</v>
      </c>
      <c r="C36" s="18"/>
      <c r="D36" s="19"/>
      <c r="E36" s="19"/>
      <c r="F36" s="19">
        <f>SUM(C9:F10)</f>
        <v>126.937310252841</v>
      </c>
    </row>
    <row r="37" ht="20.1" customHeight="1">
      <c r="B37" t="s" s="9">
        <v>33</v>
      </c>
      <c r="C37" s="18"/>
      <c r="D37" s="19"/>
      <c r="E37" s="19"/>
      <c r="F37" s="19">
        <f>'Balance sheet'!E30/F36</f>
        <v>50.4501000316152</v>
      </c>
    </row>
    <row r="38" ht="20.1" customHeight="1">
      <c r="B38" t="s" s="9">
        <v>28</v>
      </c>
      <c r="C38" s="18"/>
      <c r="D38" s="19"/>
      <c r="E38" s="19"/>
      <c r="F38" s="19">
        <f>F33/F36</f>
        <v>15.8345879237268</v>
      </c>
    </row>
    <row r="39" ht="20.1" customHeight="1">
      <c r="B39" t="s" s="9">
        <v>34</v>
      </c>
      <c r="C39" s="18"/>
      <c r="D39" s="19"/>
      <c r="E39" s="19"/>
      <c r="F39" s="19">
        <v>15</v>
      </c>
    </row>
    <row r="40" ht="20.1" customHeight="1">
      <c r="B40" t="s" s="9">
        <v>35</v>
      </c>
      <c r="C40" s="18"/>
      <c r="D40" s="19"/>
      <c r="E40" s="19"/>
      <c r="F40" s="19">
        <f>F36*F39</f>
        <v>1904.059653792620</v>
      </c>
    </row>
    <row r="41" ht="20.1" customHeight="1">
      <c r="B41" t="s" s="9">
        <v>36</v>
      </c>
      <c r="C41" s="18"/>
      <c r="D41" s="19"/>
      <c r="E41" s="19"/>
      <c r="F41" s="19">
        <f>F33/F43</f>
        <v>17.3275862068966</v>
      </c>
    </row>
    <row r="42" ht="20.1" customHeight="1">
      <c r="B42" t="s" s="9">
        <v>37</v>
      </c>
      <c r="C42" s="18"/>
      <c r="D42" s="19"/>
      <c r="E42" s="19"/>
      <c r="F42" s="19">
        <f>F40/F41</f>
        <v>109.886029771116</v>
      </c>
    </row>
    <row r="43" ht="20.1" customHeight="1">
      <c r="B43" t="s" s="9">
        <v>38</v>
      </c>
      <c r="C43" s="18"/>
      <c r="D43" s="19"/>
      <c r="E43" s="19"/>
      <c r="F43" s="19">
        <f>'Share price'!C103</f>
        <v>116</v>
      </c>
    </row>
    <row r="44" ht="20.1" customHeight="1">
      <c r="B44" t="s" s="9">
        <v>39</v>
      </c>
      <c r="C44" s="18"/>
      <c r="D44" s="19"/>
      <c r="E44" s="19"/>
      <c r="F44" s="15">
        <f>F42/F43-1</f>
        <v>-0.0527066399041724</v>
      </c>
    </row>
    <row r="45" ht="20.1" customHeight="1">
      <c r="B45" t="s" s="9">
        <v>40</v>
      </c>
      <c r="C45" s="18"/>
      <c r="D45" s="19"/>
      <c r="E45" s="19"/>
      <c r="F45" s="15">
        <f>'Sales'!C30/'Sales'!C26-1</f>
        <v>0.191854891283507</v>
      </c>
    </row>
    <row r="46" ht="20.1" customHeight="1">
      <c r="B46" t="s" s="9">
        <v>41</v>
      </c>
      <c r="C46" s="18"/>
      <c r="D46" s="19"/>
      <c r="E46" s="19"/>
      <c r="F46" s="15">
        <f>('Sales'!D24+'Sales'!D30+'Sales'!D25+'Sales'!D26+'Sales'!D27+'Sales'!D28+'Sales'!D29)/('Sales'!C24+'Sales'!C25+'Sales'!C26+'Sales'!C27+'Sales'!C28+'Sales'!C30+'Sales'!C29)-1</f>
        <v>0.0621470065086952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41406" style="24" customWidth="1"/>
    <col min="2" max="2" width="10.3984" style="24" customWidth="1"/>
    <col min="3" max="11" width="10.4844" style="24" customWidth="1"/>
    <col min="12" max="16384" width="16.3516" style="24" customWidth="1"/>
  </cols>
  <sheetData>
    <row r="1" ht="31.3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5">
        <v>1</v>
      </c>
      <c r="C3" t="s" s="25">
        <v>5</v>
      </c>
      <c r="D3" t="s" s="25">
        <v>34</v>
      </c>
      <c r="E3" t="s" s="25">
        <v>23</v>
      </c>
      <c r="F3" t="s" s="25">
        <v>42</v>
      </c>
      <c r="G3" t="s" s="25">
        <v>42</v>
      </c>
      <c r="H3" t="s" s="25">
        <v>43</v>
      </c>
      <c r="I3" t="s" s="25">
        <v>6</v>
      </c>
      <c r="J3" t="s" s="25">
        <v>44</v>
      </c>
      <c r="K3" t="s" s="25">
        <v>44</v>
      </c>
    </row>
    <row r="4" ht="20.25" customHeight="1">
      <c r="B4" s="26">
        <v>2015</v>
      </c>
      <c r="C4" s="27">
        <v>130</v>
      </c>
      <c r="D4" s="28"/>
      <c r="E4" s="29">
        <v>19</v>
      </c>
      <c r="F4" s="29">
        <v>44</v>
      </c>
      <c r="G4" s="28"/>
      <c r="H4" s="8"/>
      <c r="I4" s="30">
        <f>(E4+F4-C4)/C4</f>
        <v>-0.515384615384615</v>
      </c>
      <c r="J4" s="30"/>
      <c r="K4" s="30">
        <f>('Cashflow'!D4-'Cashflow'!C4)/'Cashflow'!C4</f>
        <v>-0.770125223613596</v>
      </c>
    </row>
    <row r="5" ht="20.05" customHeight="1">
      <c r="B5" s="31"/>
      <c r="C5" s="18">
        <v>128</v>
      </c>
      <c r="D5" s="22"/>
      <c r="E5" s="19">
        <v>19.2</v>
      </c>
      <c r="F5" s="19">
        <v>72.90000000000001</v>
      </c>
      <c r="G5" s="19"/>
      <c r="H5" s="15">
        <f>C5/C4-1</f>
        <v>-0.0153846153846154</v>
      </c>
      <c r="I5" s="15">
        <f>(E5+F5-C5)/C5</f>
        <v>-0.28046875</v>
      </c>
      <c r="J5" s="15"/>
      <c r="K5" s="15">
        <f>('Cashflow'!D5-'Cashflow'!C5)/'Cashflow'!C5</f>
        <v>-0.903536977491961</v>
      </c>
    </row>
    <row r="6" ht="20.05" customHeight="1">
      <c r="B6" s="31"/>
      <c r="C6" s="18">
        <v>137</v>
      </c>
      <c r="D6" s="22"/>
      <c r="E6" s="19">
        <v>19.4</v>
      </c>
      <c r="F6" s="19">
        <v>47.1</v>
      </c>
      <c r="G6" s="19"/>
      <c r="H6" s="15">
        <f>C6/C5-1</f>
        <v>0.0703125</v>
      </c>
      <c r="I6" s="15">
        <f>(E6+F6-C6)/C6</f>
        <v>-0.5145985401459851</v>
      </c>
      <c r="J6" s="15"/>
      <c r="K6" s="15">
        <f>('Cashflow'!D6-'Cashflow'!C6)/'Cashflow'!C6</f>
        <v>-0.49800796812749</v>
      </c>
    </row>
    <row r="7" ht="20.05" customHeight="1">
      <c r="B7" s="31"/>
      <c r="C7" s="18">
        <v>182.9</v>
      </c>
      <c r="D7" s="22"/>
      <c r="E7" s="19">
        <v>20.2</v>
      </c>
      <c r="F7" s="19">
        <v>47</v>
      </c>
      <c r="G7" s="19">
        <f>AVERAGE(F4:F7)</f>
        <v>52.75</v>
      </c>
      <c r="H7" s="15">
        <f>C7/C6-1</f>
        <v>0.335036496350365</v>
      </c>
      <c r="I7" s="15">
        <f>(E7+F7-C7)/C7</f>
        <v>-0.632586112629852</v>
      </c>
      <c r="J7" s="15"/>
      <c r="K7" s="15">
        <f>('Cashflow'!D7-'Cashflow'!C7)/'Cashflow'!C7</f>
        <v>-0.734393404004711</v>
      </c>
    </row>
    <row r="8" ht="20.05" customHeight="1">
      <c r="B8" s="32">
        <v>2016</v>
      </c>
      <c r="C8" s="18">
        <v>163</v>
      </c>
      <c r="D8" s="22"/>
      <c r="E8" s="19">
        <v>19.5</v>
      </c>
      <c r="F8" s="19">
        <v>56.6</v>
      </c>
      <c r="G8" s="19">
        <f>AVERAGE(F5:F8)</f>
        <v>55.9</v>
      </c>
      <c r="H8" s="15">
        <f>C8/C7-1</f>
        <v>-0.10880262438491</v>
      </c>
      <c r="I8" s="15">
        <f>(E8+F8-C8)/C8</f>
        <v>-0.533128834355828</v>
      </c>
      <c r="J8" s="15">
        <f>AVERAGE(K5:K8)</f>
        <v>-0.732820863489508</v>
      </c>
      <c r="K8" s="15">
        <f>('Cashflow'!D8-'Cashflow'!C8)/'Cashflow'!C8</f>
        <v>-0.795345104333868</v>
      </c>
    </row>
    <row r="9" ht="20.05" customHeight="1">
      <c r="B9" s="31"/>
      <c r="C9" s="18">
        <v>161</v>
      </c>
      <c r="D9" s="22"/>
      <c r="E9" s="19">
        <v>18.8</v>
      </c>
      <c r="F9" s="19">
        <v>113.4</v>
      </c>
      <c r="G9" s="19">
        <f>AVERAGE(F6:F9)</f>
        <v>66.02500000000001</v>
      </c>
      <c r="H9" s="15">
        <f>C9/C8-1</f>
        <v>-0.0122699386503067</v>
      </c>
      <c r="I9" s="15">
        <f>(E9+F9-C9)/C9</f>
        <v>-0.17888198757764</v>
      </c>
      <c r="J9" s="15">
        <f>AVERAGE(K6:K9)</f>
        <v>-0.625714342132782</v>
      </c>
      <c r="K9" s="15">
        <f>('Cashflow'!D9-'Cashflow'!C9)/'Cashflow'!C9</f>
        <v>-0.475110892065057</v>
      </c>
    </row>
    <row r="10" ht="20.05" customHeight="1">
      <c r="B10" s="31"/>
      <c r="C10" s="18">
        <v>163</v>
      </c>
      <c r="D10" s="22"/>
      <c r="E10" s="19">
        <v>18.5</v>
      </c>
      <c r="F10" s="19">
        <v>29.5</v>
      </c>
      <c r="G10" s="19">
        <f>AVERAGE(F7:F10)</f>
        <v>61.625</v>
      </c>
      <c r="H10" s="15">
        <f>C10/C9-1</f>
        <v>0.0124223602484472</v>
      </c>
      <c r="I10" s="15">
        <f>(E10+F10-C10)/C10</f>
        <v>-0.705521472392638</v>
      </c>
      <c r="J10" s="15">
        <f>AVERAGE(K7:K10)</f>
        <v>-0.680924810164807</v>
      </c>
      <c r="K10" s="15">
        <f>('Cashflow'!D10-'Cashflow'!C10)/'Cashflow'!C10</f>
        <v>-0.718849840255591</v>
      </c>
    </row>
    <row r="11" ht="20.05" customHeight="1">
      <c r="B11" s="31"/>
      <c r="C11" s="18">
        <v>200.8</v>
      </c>
      <c r="D11" s="22"/>
      <c r="E11" s="19">
        <v>26.6</v>
      </c>
      <c r="F11" s="19">
        <v>-45.5</v>
      </c>
      <c r="G11" s="19">
        <f>AVERAGE(F8:F11)</f>
        <v>38.5</v>
      </c>
      <c r="H11" s="15">
        <f>C11/C10-1</f>
        <v>0.231901840490798</v>
      </c>
      <c r="I11" s="15">
        <f>(E11+F11-C11)/C11</f>
        <v>-1.0941235059761</v>
      </c>
      <c r="J11" s="15">
        <f>AVERAGE(K8:K11)</f>
        <v>-0.650619497929782</v>
      </c>
      <c r="K11" s="15">
        <f>('Cashflow'!D11-'Cashflow'!C11)/'Cashflow'!C11</f>
        <v>-0.61317215506461</v>
      </c>
    </row>
    <row r="12" ht="20.05" customHeight="1">
      <c r="B12" s="32">
        <v>2017</v>
      </c>
      <c r="C12" s="18">
        <v>177</v>
      </c>
      <c r="D12" s="22"/>
      <c r="E12" s="19">
        <v>22.4</v>
      </c>
      <c r="F12" s="19">
        <v>71.59999999999999</v>
      </c>
      <c r="G12" s="19">
        <f>AVERAGE(F9:F12)</f>
        <v>42.25</v>
      </c>
      <c r="H12" s="15">
        <f>C12/C11-1</f>
        <v>-0.118525896414343</v>
      </c>
      <c r="I12" s="15">
        <f>(E12+F12-C12)/C12</f>
        <v>-0.468926553672316</v>
      </c>
      <c r="J12" s="15">
        <f>AVERAGE(K9:K12)</f>
        <v>-0.589148813244164</v>
      </c>
      <c r="K12" s="15">
        <f>('Cashflow'!D12-'Cashflow'!C12)/'Cashflow'!C12</f>
        <v>-0.549462365591398</v>
      </c>
    </row>
    <row r="13" ht="20.05" customHeight="1">
      <c r="B13" s="31"/>
      <c r="C13" s="18">
        <v>178</v>
      </c>
      <c r="D13" s="22"/>
      <c r="E13" s="19">
        <v>22</v>
      </c>
      <c r="F13" s="19">
        <v>39</v>
      </c>
      <c r="G13" s="19">
        <f>AVERAGE(F10:F13)</f>
        <v>23.65</v>
      </c>
      <c r="H13" s="15">
        <f>C13/C12-1</f>
        <v>0.00564971751412429</v>
      </c>
      <c r="I13" s="15">
        <f>(E13+F13-C13)/C13</f>
        <v>-0.657303370786517</v>
      </c>
      <c r="J13" s="15">
        <f>AVERAGE(K10:K13)</f>
        <v>-0.622615626553948</v>
      </c>
      <c r="K13" s="15">
        <f>('Cashflow'!D13-'Cashflow'!C13)/'Cashflow'!C13</f>
        <v>-0.608978145304194</v>
      </c>
    </row>
    <row r="14" ht="20.05" customHeight="1">
      <c r="B14" s="31"/>
      <c r="C14" s="18">
        <v>189</v>
      </c>
      <c r="D14" s="22"/>
      <c r="E14" s="19">
        <v>22.6</v>
      </c>
      <c r="F14" s="19">
        <v>-12.3</v>
      </c>
      <c r="G14" s="19">
        <f>AVERAGE(F11:F14)</f>
        <v>13.2</v>
      </c>
      <c r="H14" s="15">
        <f>C14/C13-1</f>
        <v>0.0617977528089888</v>
      </c>
      <c r="I14" s="15">
        <f>(E14+F14-C14)/C14</f>
        <v>-0.945502645502646</v>
      </c>
      <c r="J14" s="15">
        <f>AVERAGE(K11:K14)</f>
        <v>-0.737546023632908</v>
      </c>
      <c r="K14" s="15">
        <f>('Cashflow'!D14-'Cashflow'!C14)/'Cashflow'!C14</f>
        <v>-1.17857142857143</v>
      </c>
    </row>
    <row r="15" ht="20.05" customHeight="1">
      <c r="B15" s="31"/>
      <c r="C15" s="18">
        <v>200</v>
      </c>
      <c r="D15" s="22"/>
      <c r="E15" s="19">
        <v>37</v>
      </c>
      <c r="F15" s="19">
        <v>-5.3</v>
      </c>
      <c r="G15" s="19">
        <f>AVERAGE(F12:F15)</f>
        <v>23.25</v>
      </c>
      <c r="H15" s="15">
        <f>C15/C14-1</f>
        <v>0.0582010582010582</v>
      </c>
      <c r="I15" s="15">
        <f>(E15+F15-C15)/C15</f>
        <v>-0.8415</v>
      </c>
      <c r="J15" s="15">
        <f>AVERAGE(K12:K15)</f>
        <v>-0.774935140081783</v>
      </c>
      <c r="K15" s="15">
        <f>('Cashflow'!D15-'Cashflow'!C15)/'Cashflow'!C15</f>
        <v>-0.762728620860109</v>
      </c>
    </row>
    <row r="16" ht="20.05" customHeight="1">
      <c r="B16" s="32">
        <v>2018</v>
      </c>
      <c r="C16" s="18">
        <v>198</v>
      </c>
      <c r="D16" s="22"/>
      <c r="E16" s="19">
        <v>27</v>
      </c>
      <c r="F16" s="19">
        <v>63.7</v>
      </c>
      <c r="G16" s="19">
        <f>AVERAGE(F13:F16)</f>
        <v>21.275</v>
      </c>
      <c r="H16" s="15">
        <f>C16/C15-1</f>
        <v>-0.01</v>
      </c>
      <c r="I16" s="15">
        <f>(E16+F16-C16)/C16</f>
        <v>-0.541919191919192</v>
      </c>
      <c r="J16" s="15">
        <f>AVERAGE(K13:K16)</f>
        <v>-0.835188596302981</v>
      </c>
      <c r="K16" s="15">
        <f>('Cashflow'!D16-'Cashflow'!C16)/'Cashflow'!C16</f>
        <v>-0.79047619047619</v>
      </c>
    </row>
    <row r="17" ht="20.05" customHeight="1">
      <c r="B17" s="31"/>
      <c r="C17" s="18">
        <v>169</v>
      </c>
      <c r="D17" s="22"/>
      <c r="E17" s="19">
        <v>28.3</v>
      </c>
      <c r="F17" s="19">
        <v>75.09999999999999</v>
      </c>
      <c r="G17" s="19">
        <f>AVERAGE(F14:F17)</f>
        <v>30.3</v>
      </c>
      <c r="H17" s="15">
        <f>C17/C16-1</f>
        <v>-0.146464646464646</v>
      </c>
      <c r="I17" s="15">
        <f>(E17+F17-C17)/C17</f>
        <v>-0.388165680473373</v>
      </c>
      <c r="J17" s="15">
        <f>AVERAGE(K14:K17)</f>
        <v>-0.875658345691218</v>
      </c>
      <c r="K17" s="15">
        <f>('Cashflow'!D17-'Cashflow'!C17)/'Cashflow'!C17</f>
        <v>-0.770857142857143</v>
      </c>
    </row>
    <row r="18" ht="20.05" customHeight="1">
      <c r="B18" s="31"/>
      <c r="C18" s="18">
        <v>145.6</v>
      </c>
      <c r="D18" s="22"/>
      <c r="E18" s="19">
        <v>23.7</v>
      </c>
      <c r="F18" s="19">
        <v>68.2</v>
      </c>
      <c r="G18" s="19">
        <f>AVERAGE(F15:F18)</f>
        <v>50.425</v>
      </c>
      <c r="H18" s="15">
        <f>C18/C17-1</f>
        <v>-0.138461538461538</v>
      </c>
      <c r="I18" s="15">
        <f>(E18+F18-C18)/C18</f>
        <v>-0.368818681318681</v>
      </c>
      <c r="J18" s="15">
        <f>AVERAGE(K15:K18)</f>
        <v>-1.02789048854836</v>
      </c>
      <c r="K18" s="15">
        <f>('Cashflow'!D18-'Cashflow'!C18)/'Cashflow'!C18</f>
        <v>-1.7875</v>
      </c>
    </row>
    <row r="19" ht="20.05" customHeight="1">
      <c r="B19" s="31"/>
      <c r="C19" s="18">
        <v>160.2</v>
      </c>
      <c r="D19" s="22"/>
      <c r="E19" s="19">
        <v>15.4</v>
      </c>
      <c r="F19" s="19">
        <v>10</v>
      </c>
      <c r="G19" s="19">
        <f>AVERAGE(F16:F19)</f>
        <v>54.25</v>
      </c>
      <c r="H19" s="15">
        <f>C19/C18-1</f>
        <v>0.100274725274725</v>
      </c>
      <c r="I19" s="15">
        <f>(E19+F19-C19)/C19</f>
        <v>-0.841448189762797</v>
      </c>
      <c r="J19" s="15">
        <f>AVERAGE(K16:K19)</f>
        <v>-1.01341801075269</v>
      </c>
      <c r="K19" s="15">
        <f>('Cashflow'!D19-'Cashflow'!C19)/'Cashflow'!C19</f>
        <v>-0.704838709677419</v>
      </c>
    </row>
    <row r="20" ht="20.05" customHeight="1">
      <c r="B20" s="32">
        <v>2019</v>
      </c>
      <c r="C20" s="18">
        <v>155</v>
      </c>
      <c r="D20" s="22"/>
      <c r="E20" s="19">
        <v>40.8</v>
      </c>
      <c r="F20" s="19">
        <v>67.8</v>
      </c>
      <c r="G20" s="19">
        <f>AVERAGE(F17:F20)</f>
        <v>55.275</v>
      </c>
      <c r="H20" s="15">
        <f>C20/C19-1</f>
        <v>-0.0324594257178527</v>
      </c>
      <c r="I20" s="15">
        <f>(E20+F20-C20)/C20</f>
        <v>-0.299354838709677</v>
      </c>
      <c r="J20" s="15">
        <f>AVERAGE(K17:K20)</f>
        <v>-0.890166051741236</v>
      </c>
      <c r="K20" s="15">
        <f>('Cashflow'!D20-'Cashflow'!C20)/'Cashflow'!C20</f>
        <v>-0.29746835443038</v>
      </c>
    </row>
    <row r="21" ht="20.05" customHeight="1">
      <c r="B21" s="31"/>
      <c r="C21" s="18">
        <v>149.6</v>
      </c>
      <c r="D21" s="22"/>
      <c r="E21" s="19">
        <v>-1.6</v>
      </c>
      <c r="F21" s="19">
        <v>58.2</v>
      </c>
      <c r="G21" s="19">
        <f>AVERAGE(F18:F21)</f>
        <v>51.05</v>
      </c>
      <c r="H21" s="15">
        <f>C21/C20-1</f>
        <v>-0.0348387096774194</v>
      </c>
      <c r="I21" s="15">
        <f>(E21+F21-C21)/C21</f>
        <v>-0.621657754010695</v>
      </c>
      <c r="J21" s="15">
        <f>AVERAGE(K18:K21)</f>
        <v>-0.962232439898532</v>
      </c>
      <c r="K21" s="15">
        <f>('Cashflow'!D21-'Cashflow'!C21)/'Cashflow'!C21</f>
        <v>-1.05912269548633</v>
      </c>
    </row>
    <row r="22" ht="20.05" customHeight="1">
      <c r="B22" s="31"/>
      <c r="C22" s="18">
        <v>164.3</v>
      </c>
      <c r="D22" s="22"/>
      <c r="E22" s="19">
        <v>17.9</v>
      </c>
      <c r="F22" s="19">
        <v>55</v>
      </c>
      <c r="G22" s="19">
        <f>AVERAGE(F19:F22)</f>
        <v>47.75</v>
      </c>
      <c r="H22" s="15">
        <f>C22/C21-1</f>
        <v>0.0982620320855615</v>
      </c>
      <c r="I22" s="15">
        <f>(E22+F22-C22)/C22</f>
        <v>-0.556299452221546</v>
      </c>
      <c r="J22" s="15">
        <f>AVERAGE(K19:K22)</f>
        <v>-0.664801827531896</v>
      </c>
      <c r="K22" s="15">
        <f>('Cashflow'!D22-'Cashflow'!C22)/'Cashflow'!C22</f>
        <v>-0.597777550533456</v>
      </c>
    </row>
    <row r="23" ht="20.05" customHeight="1">
      <c r="B23" s="31"/>
      <c r="C23" s="18">
        <v>161.27</v>
      </c>
      <c r="D23" s="22"/>
      <c r="E23" s="19">
        <v>28.2</v>
      </c>
      <c r="F23" s="19">
        <v>24</v>
      </c>
      <c r="G23" s="19">
        <f>AVERAGE(F20:F23)</f>
        <v>51.25</v>
      </c>
      <c r="H23" s="15">
        <f>C23/C22-1</f>
        <v>-0.0184418746195983</v>
      </c>
      <c r="I23" s="15">
        <f>(E23+F23-C23)/C23</f>
        <v>-0.676319216221244</v>
      </c>
      <c r="J23" s="15">
        <f>AVERAGE(K20:K23)</f>
        <v>-0.460091615508848</v>
      </c>
      <c r="K23" s="15">
        <f>('Cashflow'!D23-'Cashflow'!C23)/'Cashflow'!C23</f>
        <v>0.114002138414774</v>
      </c>
    </row>
    <row r="24" ht="20.05" customHeight="1">
      <c r="B24" s="32">
        <v>2020</v>
      </c>
      <c r="C24" s="18">
        <v>142.052</v>
      </c>
      <c r="D24" s="19">
        <v>178.54</v>
      </c>
      <c r="E24" s="19">
        <v>20.6</v>
      </c>
      <c r="F24" s="19">
        <v>55</v>
      </c>
      <c r="G24" s="19">
        <f>AVERAGE(F21:F24)</f>
        <v>48.05</v>
      </c>
      <c r="H24" s="15">
        <f>C24/C23-1</f>
        <v>-0.119166614993489</v>
      </c>
      <c r="I24" s="15">
        <f>(E24+F24-C24)/C24</f>
        <v>-0.467800523751866</v>
      </c>
      <c r="J24" s="15">
        <f>AVERAGE(K21:K24)</f>
        <v>-0.548608605113544</v>
      </c>
      <c r="K24" s="15">
        <f>('Cashflow'!D24-'Cashflow'!C24)/'Cashflow'!C24</f>
        <v>-0.651536312849162</v>
      </c>
    </row>
    <row r="25" ht="20.05" customHeight="1">
      <c r="B25" s="31"/>
      <c r="C25" s="18">
        <v>101</v>
      </c>
      <c r="D25" s="17">
        <v>134.64</v>
      </c>
      <c r="E25" s="19">
        <v>14.2</v>
      </c>
      <c r="F25" s="19">
        <v>-2.2</v>
      </c>
      <c r="G25" s="19">
        <f>AVERAGE(F22:F25)</f>
        <v>32.95</v>
      </c>
      <c r="H25" s="15">
        <f>C25/C24-1</f>
        <v>-0.288992763213471</v>
      </c>
      <c r="I25" s="15">
        <f>(E25+F25-C25)/C25</f>
        <v>-0.881188118811881</v>
      </c>
      <c r="J25" s="15">
        <f>AVERAGE(K22:K25)</f>
        <v>-0.611506394090071</v>
      </c>
      <c r="K25" s="15">
        <f>('Cashflow'!D25-'Cashflow'!C25)/'Cashflow'!C25</f>
        <v>-1.31071385139244</v>
      </c>
    </row>
    <row r="26" ht="20.05" customHeight="1">
      <c r="B26" s="31"/>
      <c r="C26" s="18">
        <v>130.385</v>
      </c>
      <c r="D26" s="17">
        <v>115.01</v>
      </c>
      <c r="E26" s="19">
        <f>37+4+3+8-SUM(E24:E25)</f>
        <v>17.2</v>
      </c>
      <c r="F26" s="19">
        <f>82.4-SUM(F24:F25)</f>
        <v>29.6</v>
      </c>
      <c r="G26" s="19">
        <f>AVERAGE(F23:F26)</f>
        <v>26.6</v>
      </c>
      <c r="H26" s="15">
        <f>C26/C25-1</f>
        <v>0.290940594059406</v>
      </c>
      <c r="I26" s="15">
        <f>(E26+F26-C26)/C26</f>
        <v>-0.641063005713847</v>
      </c>
      <c r="J26" s="15">
        <f>AVERAGE(K23:K26)</f>
        <v>-0.689041179860756</v>
      </c>
      <c r="K26" s="15">
        <f>('Cashflow'!D26-'Cashflow'!C26)/'Cashflow'!C26</f>
        <v>-0.907916693616196</v>
      </c>
    </row>
    <row r="27" ht="20.05" customHeight="1">
      <c r="B27" s="31"/>
      <c r="C27" s="18">
        <f>517.2-SUM(C24:C26)</f>
        <v>143.763</v>
      </c>
      <c r="D27" s="17">
        <v>147.33505</v>
      </c>
      <c r="E27" s="19">
        <f>19.8+7.5+40.6+11.7-SUM(E24:E26)</f>
        <v>27.6</v>
      </c>
      <c r="F27" s="19">
        <f>112.6-SUM(F24:F26)</f>
        <v>30.2</v>
      </c>
      <c r="G27" s="19">
        <f>AVERAGE(F24:F27)</f>
        <v>28.15</v>
      </c>
      <c r="H27" s="15">
        <f>C27/C26-1</f>
        <v>0.102603827127354</v>
      </c>
      <c r="I27" s="15">
        <f>(E27+F27-C27)/C27</f>
        <v>-0.597949402836613</v>
      </c>
      <c r="J27" s="15">
        <f>AVERAGE(K24:K27)</f>
        <v>-0.504771797893208</v>
      </c>
      <c r="K27" s="15">
        <f>('Cashflow'!D27-'Cashflow'!C27)/'Cashflow'!C27</f>
        <v>0.851079666284966</v>
      </c>
    </row>
    <row r="28" ht="20.05" customHeight="1">
      <c r="B28" s="32">
        <v>2021</v>
      </c>
      <c r="C28" s="18">
        <v>144.6</v>
      </c>
      <c r="D28" s="17">
        <v>151.7551015</v>
      </c>
      <c r="E28" s="19">
        <f>13.8+1.4+0.9+4.4</f>
        <v>20.5</v>
      </c>
      <c r="F28" s="19">
        <v>34.4</v>
      </c>
      <c r="G28" s="19">
        <f>AVERAGE(F25:F28)</f>
        <v>23</v>
      </c>
      <c r="H28" s="15">
        <f>C28/C27-1</f>
        <v>0.00582208217691617</v>
      </c>
      <c r="I28" s="15">
        <f>(E28+F28-C28)/C28</f>
        <v>-0.620331950207469</v>
      </c>
      <c r="J28" s="15">
        <f>AVERAGE(K25:K28)</f>
        <v>-0.521283510583837</v>
      </c>
      <c r="K28" s="15">
        <f>('Cashflow'!D28-'Cashflow'!C28)/'Cashflow'!C28</f>
        <v>-0.717583163611677</v>
      </c>
    </row>
    <row r="29" ht="20.05" customHeight="1">
      <c r="B29" s="31"/>
      <c r="C29" s="18">
        <f>310.7-C28</f>
        <v>166.1</v>
      </c>
      <c r="D29" s="22">
        <v>146.046</v>
      </c>
      <c r="E29" s="19">
        <f>5.8+1.8+2.8+37.5-E28</f>
        <v>27.4</v>
      </c>
      <c r="F29" s="19">
        <f>38.7-F28</f>
        <v>4.3</v>
      </c>
      <c r="G29" s="19">
        <f>AVERAGE(F26:F29)</f>
        <v>24.625</v>
      </c>
      <c r="H29" s="15">
        <f>C29/C28-1</f>
        <v>0.148686030428769</v>
      </c>
      <c r="I29" s="15">
        <f>(E29+F29-C29)/C29</f>
        <v>-0.809151113786875</v>
      </c>
      <c r="J29" s="15">
        <f>AVERAGE(K26:K29)</f>
        <v>-0.475507927464694</v>
      </c>
      <c r="K29" s="15">
        <f>('Cashflow'!D29-'Cashflow'!C29)/'Cashflow'!C29</f>
        <v>-1.12761151891587</v>
      </c>
    </row>
    <row r="30" ht="20.05" customHeight="1">
      <c r="B30" s="31"/>
      <c r="C30" s="18">
        <f>466.1-SUM(C28:C29)</f>
        <v>155.4</v>
      </c>
      <c r="D30" s="22">
        <v>171.083</v>
      </c>
      <c r="E30" s="17">
        <f>14.8+52.4+9.1+5.1-SUM(E28:E29)</f>
        <v>33.5</v>
      </c>
      <c r="F30" s="17">
        <f>28.9-SUM(F28:F29)</f>
        <v>-9.800000000000001</v>
      </c>
      <c r="G30" s="19">
        <f>AVERAGE(F27:F30)</f>
        <v>14.775</v>
      </c>
      <c r="H30" s="15">
        <f>C30/C29-1</f>
        <v>-0.0644190246839253</v>
      </c>
      <c r="I30" s="15">
        <f>(E30+F30-C30)/C30</f>
        <v>-0.847490347490347</v>
      </c>
      <c r="J30" s="15">
        <f>AVERAGE(K28:K30)</f>
        <v>-0.761748843192915</v>
      </c>
      <c r="K30" s="15">
        <f>('Cashflow'!D30-'Cashflow'!C30)/'Cashflow'!C30</f>
        <v>-0.440051847051199</v>
      </c>
    </row>
    <row r="31" ht="20.05" customHeight="1">
      <c r="B31" s="31"/>
      <c r="C31" s="18"/>
      <c r="D31" s="22">
        <f>'Model'!C6</f>
        <v>164.724</v>
      </c>
      <c r="E31" s="22"/>
      <c r="F31" s="22"/>
      <c r="G31" s="17">
        <f>'Model'!F21</f>
        <v>8.119576460697999</v>
      </c>
      <c r="H31" s="11"/>
      <c r="I31" s="15">
        <f>'Model'!C7</f>
        <v>-0.761748843192915</v>
      </c>
      <c r="J31" s="33"/>
      <c r="K31" s="15"/>
    </row>
    <row r="32" ht="20.05" customHeight="1">
      <c r="B32" s="32">
        <v>2022</v>
      </c>
      <c r="C32" s="18"/>
      <c r="D32" s="22">
        <f>'Model'!D6</f>
        <v>163.07676</v>
      </c>
      <c r="E32" s="22"/>
      <c r="F32" s="22"/>
      <c r="G32" s="22"/>
      <c r="H32" s="11"/>
      <c r="I32" s="11"/>
      <c r="J32" s="15"/>
      <c r="K32" s="15"/>
    </row>
    <row r="33" ht="20.05" customHeight="1">
      <c r="B33" s="31"/>
      <c r="C33" s="18"/>
      <c r="D33" s="17">
        <f>'Model'!E6</f>
        <v>167.9690628</v>
      </c>
      <c r="E33" s="22"/>
      <c r="F33" s="22"/>
      <c r="G33" s="22"/>
      <c r="H33" s="11"/>
      <c r="I33" s="11"/>
      <c r="J33" s="15"/>
      <c r="K33" s="15"/>
    </row>
    <row r="34" ht="20.05" customHeight="1">
      <c r="B34" s="31"/>
      <c r="C34" s="18"/>
      <c r="D34" s="17">
        <f>'Model'!F6</f>
        <v>174.687825312</v>
      </c>
      <c r="E34" s="22"/>
      <c r="F34" s="22"/>
      <c r="G34" s="22"/>
      <c r="H34" s="11"/>
      <c r="I34" s="11"/>
      <c r="J34" s="15"/>
      <c r="K34" s="15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47656" style="34" customWidth="1"/>
    <col min="2" max="2" width="8.88281" style="34" customWidth="1"/>
    <col min="3" max="3" width="12.2031" style="34" customWidth="1"/>
    <col min="4" max="4" width="11.8281" style="34" customWidth="1"/>
    <col min="5" max="5" width="14.1328" style="34" customWidth="1"/>
    <col min="6" max="11" width="10.875" style="34" customWidth="1"/>
    <col min="12" max="16384" width="16.3516" style="34" customWidth="1"/>
  </cols>
  <sheetData>
    <row r="1" ht="19.65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5">
        <v>1</v>
      </c>
      <c r="C3" t="s" s="25">
        <v>46</v>
      </c>
      <c r="D3" t="s" s="25">
        <v>47</v>
      </c>
      <c r="E3" t="s" s="25">
        <v>48</v>
      </c>
      <c r="F3" t="s" s="25">
        <v>11</v>
      </c>
      <c r="G3" t="s" s="25">
        <v>25</v>
      </c>
      <c r="H3" t="s" s="25">
        <v>10</v>
      </c>
      <c r="I3" t="s" s="25">
        <v>49</v>
      </c>
      <c r="J3" t="s" s="25">
        <v>45</v>
      </c>
      <c r="K3" t="s" s="25">
        <v>29</v>
      </c>
    </row>
    <row r="4" ht="20.25" customHeight="1">
      <c r="B4" s="26">
        <v>2015</v>
      </c>
      <c r="C4" s="27">
        <v>111.8</v>
      </c>
      <c r="D4" s="29">
        <v>25.7</v>
      </c>
      <c r="E4" s="29">
        <v>-62.8</v>
      </c>
      <c r="F4" s="29"/>
      <c r="G4" s="29"/>
      <c r="H4" s="29">
        <v>-37.9</v>
      </c>
      <c r="I4" s="29">
        <f>D4+E4</f>
        <v>-37.1</v>
      </c>
      <c r="J4" s="28"/>
      <c r="K4" s="29">
        <f>-H4</f>
        <v>37.9</v>
      </c>
    </row>
    <row r="5" ht="20.05" customHeight="1">
      <c r="B5" s="31"/>
      <c r="C5" s="18">
        <v>155.5</v>
      </c>
      <c r="D5" s="19">
        <v>15</v>
      </c>
      <c r="E5" s="19">
        <v>-162.2</v>
      </c>
      <c r="F5" s="19"/>
      <c r="G5" s="19"/>
      <c r="H5" s="19">
        <v>139.6</v>
      </c>
      <c r="I5" s="19">
        <f>D5+E5</f>
        <v>-147.2</v>
      </c>
      <c r="J5" s="22"/>
      <c r="K5" s="19">
        <f>-H5+K4</f>
        <v>-101.7</v>
      </c>
    </row>
    <row r="6" ht="20.05" customHeight="1">
      <c r="B6" s="31"/>
      <c r="C6" s="18">
        <v>125.5</v>
      </c>
      <c r="D6" s="19">
        <v>63</v>
      </c>
      <c r="E6" s="19">
        <v>-145</v>
      </c>
      <c r="F6" s="19"/>
      <c r="G6" s="19"/>
      <c r="H6" s="19">
        <v>104</v>
      </c>
      <c r="I6" s="19">
        <f>D6+E6</f>
        <v>-82</v>
      </c>
      <c r="J6" s="22"/>
      <c r="K6" s="19">
        <f>-H6+K5</f>
        <v>-205.7</v>
      </c>
    </row>
    <row r="7" ht="20.05" customHeight="1">
      <c r="B7" s="31"/>
      <c r="C7" s="18">
        <v>169.8</v>
      </c>
      <c r="D7" s="19">
        <v>45.1</v>
      </c>
      <c r="E7" s="19">
        <v>-142.5</v>
      </c>
      <c r="F7" s="19"/>
      <c r="G7" s="19"/>
      <c r="H7" s="19">
        <v>155.2</v>
      </c>
      <c r="I7" s="19">
        <f>D7+E7</f>
        <v>-97.40000000000001</v>
      </c>
      <c r="J7" s="22"/>
      <c r="K7" s="19">
        <f>-H7+K6</f>
        <v>-360.9</v>
      </c>
    </row>
    <row r="8" ht="20.05" customHeight="1">
      <c r="B8" s="32">
        <v>2016</v>
      </c>
      <c r="C8" s="18">
        <v>124.6</v>
      </c>
      <c r="D8" s="19">
        <v>25.5</v>
      </c>
      <c r="E8" s="19">
        <v>-257.7</v>
      </c>
      <c r="F8" s="19"/>
      <c r="G8" s="19"/>
      <c r="H8" s="19">
        <v>226.3</v>
      </c>
      <c r="I8" s="19">
        <f>D8+E8</f>
        <v>-232.2</v>
      </c>
      <c r="J8" s="19">
        <f>AVERAGE(I5:I8)</f>
        <v>-139.7</v>
      </c>
      <c r="K8" s="19">
        <f>-H8+K7</f>
        <v>-587.2</v>
      </c>
    </row>
    <row r="9" ht="20.05" customHeight="1">
      <c r="B9" s="31"/>
      <c r="C9" s="18">
        <v>202.9</v>
      </c>
      <c r="D9" s="19">
        <v>106.5</v>
      </c>
      <c r="E9" s="19">
        <v>-214.3</v>
      </c>
      <c r="F9" s="19"/>
      <c r="G9" s="19"/>
      <c r="H9" s="19">
        <v>256.5</v>
      </c>
      <c r="I9" s="19">
        <f>D9+E9</f>
        <v>-107.8</v>
      </c>
      <c r="J9" s="19">
        <f>AVERAGE(I6:I9)</f>
        <v>-129.85</v>
      </c>
      <c r="K9" s="19">
        <f>-H9+K8</f>
        <v>-843.7</v>
      </c>
    </row>
    <row r="10" ht="20.05" customHeight="1">
      <c r="B10" s="31"/>
      <c r="C10" s="18">
        <v>156.5</v>
      </c>
      <c r="D10" s="19">
        <v>44</v>
      </c>
      <c r="E10" s="19">
        <v>-121.9</v>
      </c>
      <c r="F10" s="19"/>
      <c r="G10" s="19"/>
      <c r="H10" s="19">
        <v>-49.8</v>
      </c>
      <c r="I10" s="19">
        <f>D10+E10</f>
        <v>-77.90000000000001</v>
      </c>
      <c r="J10" s="19">
        <f>AVERAGE(I7:I10)</f>
        <v>-128.825</v>
      </c>
      <c r="K10" s="19">
        <f>-H10+K9</f>
        <v>-793.9</v>
      </c>
    </row>
    <row r="11" ht="20.05" customHeight="1">
      <c r="B11" s="31"/>
      <c r="C11" s="18">
        <v>239.9</v>
      </c>
      <c r="D11" s="19">
        <v>92.8</v>
      </c>
      <c r="E11" s="19">
        <v>-140.1</v>
      </c>
      <c r="F11" s="19"/>
      <c r="G11" s="19"/>
      <c r="H11" s="19">
        <v>41</v>
      </c>
      <c r="I11" s="19">
        <f>D11+E11</f>
        <v>-47.3</v>
      </c>
      <c r="J11" s="19">
        <f>AVERAGE(I8:I11)</f>
        <v>-116.3</v>
      </c>
      <c r="K11" s="19">
        <f>-H11+K10</f>
        <v>-834.9</v>
      </c>
    </row>
    <row r="12" ht="20.05" customHeight="1">
      <c r="B12" s="32">
        <v>2017</v>
      </c>
      <c r="C12" s="18">
        <v>186</v>
      </c>
      <c r="D12" s="19">
        <v>83.8</v>
      </c>
      <c r="E12" s="19">
        <v>-163.4</v>
      </c>
      <c r="F12" s="19"/>
      <c r="G12" s="19"/>
      <c r="H12" s="19">
        <v>-19.2</v>
      </c>
      <c r="I12" s="19">
        <f>D12+E12</f>
        <v>-79.59999999999999</v>
      </c>
      <c r="J12" s="19">
        <f>AVERAGE(I9:I12)</f>
        <v>-78.15000000000001</v>
      </c>
      <c r="K12" s="19">
        <f>-H12+K11</f>
        <v>-815.7</v>
      </c>
    </row>
    <row r="13" ht="20.05" customHeight="1">
      <c r="B13" s="31"/>
      <c r="C13" s="18">
        <v>169.3</v>
      </c>
      <c r="D13" s="19">
        <v>66.2</v>
      </c>
      <c r="E13" s="19">
        <v>-43.6</v>
      </c>
      <c r="F13" s="19"/>
      <c r="G13" s="19"/>
      <c r="H13" s="19">
        <v>-24.6</v>
      </c>
      <c r="I13" s="19">
        <f>D13+E13</f>
        <v>22.6</v>
      </c>
      <c r="J13" s="19">
        <f>AVERAGE(I10:I13)</f>
        <v>-45.55</v>
      </c>
      <c r="K13" s="19">
        <f>-H13+K12</f>
        <v>-791.1</v>
      </c>
    </row>
    <row r="14" ht="20.05" customHeight="1">
      <c r="B14" s="31"/>
      <c r="C14" s="18">
        <v>162.4</v>
      </c>
      <c r="D14" s="19">
        <v>-29</v>
      </c>
      <c r="E14" s="19">
        <v>-72</v>
      </c>
      <c r="F14" s="19"/>
      <c r="G14" s="19"/>
      <c r="H14" s="19">
        <v>55.8</v>
      </c>
      <c r="I14" s="19">
        <f>D14+E14</f>
        <v>-101</v>
      </c>
      <c r="J14" s="19">
        <f>AVERAGE(I11:I14)</f>
        <v>-51.325</v>
      </c>
      <c r="K14" s="19">
        <f>-H14+K13</f>
        <v>-846.9</v>
      </c>
    </row>
    <row r="15" ht="20.05" customHeight="1">
      <c r="B15" s="31"/>
      <c r="C15" s="18">
        <v>202.3</v>
      </c>
      <c r="D15" s="19">
        <v>48</v>
      </c>
      <c r="E15" s="19">
        <v>204</v>
      </c>
      <c r="F15" s="19"/>
      <c r="G15" s="19"/>
      <c r="H15" s="19">
        <v>-93</v>
      </c>
      <c r="I15" s="19">
        <f>D15+E15</f>
        <v>252</v>
      </c>
      <c r="J15" s="19">
        <f>AVERAGE(I12:I15)</f>
        <v>23.5</v>
      </c>
      <c r="K15" s="19">
        <f>-H15+K14</f>
        <v>-753.9</v>
      </c>
    </row>
    <row r="16" ht="20.05" customHeight="1">
      <c r="B16" s="32">
        <v>2018</v>
      </c>
      <c r="C16" s="18">
        <v>189</v>
      </c>
      <c r="D16" s="19">
        <v>39.6</v>
      </c>
      <c r="E16" s="19">
        <v>-87</v>
      </c>
      <c r="F16" s="19"/>
      <c r="G16" s="19"/>
      <c r="H16" s="19">
        <v>-14</v>
      </c>
      <c r="I16" s="19">
        <f>D16+E16</f>
        <v>-47.4</v>
      </c>
      <c r="J16" s="19">
        <f>AVERAGE(I13:I16)</f>
        <v>31.55</v>
      </c>
      <c r="K16" s="19">
        <f>-H16+K15</f>
        <v>-739.9</v>
      </c>
    </row>
    <row r="17" ht="20.05" customHeight="1">
      <c r="B17" s="31"/>
      <c r="C17" s="18">
        <v>175</v>
      </c>
      <c r="D17" s="19">
        <v>40.1</v>
      </c>
      <c r="E17" s="19">
        <v>584.8</v>
      </c>
      <c r="F17" s="19"/>
      <c r="G17" s="19"/>
      <c r="H17" s="19">
        <v>-584</v>
      </c>
      <c r="I17" s="19">
        <f>D17+E17</f>
        <v>624.9</v>
      </c>
      <c r="J17" s="19">
        <f>AVERAGE(I14:I17)</f>
        <v>182.125</v>
      </c>
      <c r="K17" s="19">
        <f>-H17+K16</f>
        <v>-155.9</v>
      </c>
    </row>
    <row r="18" ht="20.05" customHeight="1">
      <c r="B18" s="31"/>
      <c r="C18" s="18">
        <v>-8</v>
      </c>
      <c r="D18" s="19">
        <v>6.3</v>
      </c>
      <c r="E18" s="19">
        <v>-334.3</v>
      </c>
      <c r="F18" s="19"/>
      <c r="G18" s="19"/>
      <c r="H18" s="19">
        <v>597.5</v>
      </c>
      <c r="I18" s="19">
        <f>D18+E18</f>
        <v>-328</v>
      </c>
      <c r="J18" s="19">
        <f>AVERAGE(I15:I18)</f>
        <v>125.375</v>
      </c>
      <c r="K18" s="19">
        <f>-H18+K17</f>
        <v>-753.4</v>
      </c>
    </row>
    <row r="19" ht="20.05" customHeight="1">
      <c r="B19" s="31"/>
      <c r="C19" s="18">
        <v>310</v>
      </c>
      <c r="D19" s="19">
        <v>91.5</v>
      </c>
      <c r="E19" s="19">
        <v>-238.5</v>
      </c>
      <c r="F19" s="19"/>
      <c r="G19" s="19"/>
      <c r="H19" s="19">
        <v>-75.2</v>
      </c>
      <c r="I19" s="19">
        <f>D19+E19</f>
        <v>-147</v>
      </c>
      <c r="J19" s="19">
        <f>AVERAGE(I16:I19)</f>
        <v>25.625</v>
      </c>
      <c r="K19" s="19">
        <f>-H19+K18</f>
        <v>-678.2</v>
      </c>
    </row>
    <row r="20" ht="20.05" customHeight="1">
      <c r="B20" s="32">
        <v>2019</v>
      </c>
      <c r="C20" s="18">
        <v>158</v>
      </c>
      <c r="D20" s="19">
        <v>111</v>
      </c>
      <c r="E20" s="19">
        <v>-100.8</v>
      </c>
      <c r="F20" s="19"/>
      <c r="G20" s="19"/>
      <c r="H20" s="19">
        <v>-52</v>
      </c>
      <c r="I20" s="19">
        <f>D20+E20</f>
        <v>10.2</v>
      </c>
      <c r="J20" s="19">
        <f>AVERAGE(I17:I20)</f>
        <v>40.025</v>
      </c>
      <c r="K20" s="19">
        <f>-H20+K19</f>
        <v>-626.2</v>
      </c>
    </row>
    <row r="21" ht="20.05" customHeight="1">
      <c r="B21" s="31"/>
      <c r="C21" s="18">
        <v>157.3</v>
      </c>
      <c r="D21" s="19">
        <v>-9.300000000000001</v>
      </c>
      <c r="E21" s="19">
        <v>-8.199999999999999</v>
      </c>
      <c r="F21" s="19"/>
      <c r="G21" s="19"/>
      <c r="H21" s="19">
        <v>26</v>
      </c>
      <c r="I21" s="19">
        <f>D21+E21</f>
        <v>-17.5</v>
      </c>
      <c r="J21" s="19">
        <f>AVERAGE(I18:I21)</f>
        <v>-120.575</v>
      </c>
      <c r="K21" s="19">
        <f>-H21+K20</f>
        <v>-652.2</v>
      </c>
    </row>
    <row r="22" ht="20.05" customHeight="1">
      <c r="B22" s="31"/>
      <c r="C22" s="18">
        <f>491.322-SUM(C20:C21)</f>
        <v>176.022</v>
      </c>
      <c r="D22" s="19">
        <f>172.5-SUM(D20:D21)</f>
        <v>70.8</v>
      </c>
      <c r="E22" s="19">
        <v>-175</v>
      </c>
      <c r="F22" s="19"/>
      <c r="G22" s="19"/>
      <c r="H22" s="19">
        <f>14.874-SUM(H20:H21)</f>
        <v>40.874</v>
      </c>
      <c r="I22" s="19">
        <f>D22+E22</f>
        <v>-104.2</v>
      </c>
      <c r="J22" s="19">
        <f>AVERAGE(I19:I22)</f>
        <v>-64.625</v>
      </c>
      <c r="K22" s="19">
        <f>-H22+K21</f>
        <v>-693.074</v>
      </c>
    </row>
    <row r="23" ht="20.05" customHeight="1">
      <c r="B23" s="31"/>
      <c r="C23" s="18">
        <v>178.637</v>
      </c>
      <c r="D23" s="19">
        <v>199.002</v>
      </c>
      <c r="E23" s="19">
        <v>-440.563</v>
      </c>
      <c r="F23" s="19"/>
      <c r="G23" s="19"/>
      <c r="H23" s="19">
        <v>264.861</v>
      </c>
      <c r="I23" s="19">
        <f>D23+E23</f>
        <v>-241.561</v>
      </c>
      <c r="J23" s="19">
        <f>AVERAGE(I20:I23)</f>
        <v>-88.26524999999999</v>
      </c>
      <c r="K23" s="19">
        <f>-H23+K22</f>
        <v>-957.9349999999999</v>
      </c>
    </row>
    <row r="24" ht="20.05" customHeight="1">
      <c r="B24" s="32">
        <v>2020</v>
      </c>
      <c r="C24" s="18">
        <v>143.2</v>
      </c>
      <c r="D24" s="19">
        <v>49.9</v>
      </c>
      <c r="E24" s="19">
        <v>-201.6</v>
      </c>
      <c r="F24" s="19"/>
      <c r="G24" s="19"/>
      <c r="H24" s="19">
        <v>105.5</v>
      </c>
      <c r="I24" s="19">
        <f>D24+E24</f>
        <v>-151.7</v>
      </c>
      <c r="J24" s="19">
        <f>AVERAGE(I21:I24)</f>
        <v>-128.74025</v>
      </c>
      <c r="K24" s="19">
        <f>-H24+K23</f>
        <v>-1063.435</v>
      </c>
    </row>
    <row r="25" ht="20.05" customHeight="1">
      <c r="B25" s="31"/>
      <c r="C25" s="18">
        <v>82.23</v>
      </c>
      <c r="D25" s="19">
        <v>-25.55</v>
      </c>
      <c r="E25" s="19">
        <v>-194.4</v>
      </c>
      <c r="F25" s="19"/>
      <c r="G25" s="19"/>
      <c r="H25" s="19">
        <v>192.5</v>
      </c>
      <c r="I25" s="19">
        <f>D25+E25</f>
        <v>-219.95</v>
      </c>
      <c r="J25" s="19">
        <f>AVERAGE(I22:I25)</f>
        <v>-179.35275</v>
      </c>
      <c r="K25" s="19">
        <f>-H25+K24</f>
        <v>-1255.935</v>
      </c>
    </row>
    <row r="26" ht="20.05" customHeight="1">
      <c r="B26" s="31"/>
      <c r="C26" s="18">
        <f>380.04-SUM(C24:C25)</f>
        <v>154.61</v>
      </c>
      <c r="D26" s="19">
        <f>38.587-SUM(D24:D25)</f>
        <v>14.237</v>
      </c>
      <c r="E26" s="19">
        <f>-719-SUM(E24:E25)</f>
        <v>-323</v>
      </c>
      <c r="F26" s="19"/>
      <c r="G26" s="19"/>
      <c r="H26" s="19">
        <f>543.463-SUM((H24:H25))</f>
        <v>245.463</v>
      </c>
      <c r="I26" s="19">
        <f>D26+E26</f>
        <v>-308.763</v>
      </c>
      <c r="J26" s="19">
        <f>AVERAGE(I23:I26)</f>
        <v>-230.4935</v>
      </c>
      <c r="K26" s="19">
        <f>-H26+K25</f>
        <v>-1501.398</v>
      </c>
    </row>
    <row r="27" ht="20.05" customHeight="1">
      <c r="B27" s="31"/>
      <c r="C27" s="18">
        <f>502.3-SUM(C24:C26)</f>
        <v>122.26</v>
      </c>
      <c r="D27" s="19">
        <f>264.9-SUM(D24:D26)</f>
        <v>226.313</v>
      </c>
      <c r="E27" s="19">
        <f>-1216.8-SUM(E24:E26)</f>
        <v>-497.8</v>
      </c>
      <c r="F27" s="19"/>
      <c r="G27" s="19"/>
      <c r="H27" s="19">
        <f>727.8-SUM(H24:H26)</f>
        <v>184.337</v>
      </c>
      <c r="I27" s="19">
        <f>D27+E27</f>
        <v>-271.487</v>
      </c>
      <c r="J27" s="19">
        <f>AVERAGE(I24:I27)</f>
        <v>-237.975</v>
      </c>
      <c r="K27" s="19">
        <f>-H27+K26</f>
        <v>-1685.735</v>
      </c>
    </row>
    <row r="28" ht="20.05" customHeight="1">
      <c r="B28" s="32">
        <v>2021</v>
      </c>
      <c r="C28" s="18">
        <v>147.3</v>
      </c>
      <c r="D28" s="19">
        <v>41.6</v>
      </c>
      <c r="E28" s="19">
        <v>-42</v>
      </c>
      <c r="F28" s="19">
        <v>35.791</v>
      </c>
      <c r="G28" s="19"/>
      <c r="H28" s="19">
        <v>35.8</v>
      </c>
      <c r="I28" s="19">
        <f>D28+E28</f>
        <v>-0.4</v>
      </c>
      <c r="J28" s="19">
        <f>AVERAGE(I25:I28)</f>
        <v>-200.15</v>
      </c>
      <c r="K28" s="19">
        <f>-H28+K27</f>
        <v>-1721.535</v>
      </c>
    </row>
    <row r="29" ht="20.05" customHeight="1">
      <c r="B29" s="31"/>
      <c r="C29" s="18">
        <f>324.4-C28</f>
        <v>177.1</v>
      </c>
      <c r="D29" s="19">
        <f>19-D28</f>
        <v>-22.6</v>
      </c>
      <c r="E29" s="19">
        <f>-211.6-E28</f>
        <v>-169.6</v>
      </c>
      <c r="F29" s="19">
        <f>139-F28</f>
        <v>103.209</v>
      </c>
      <c r="G29" s="19"/>
      <c r="H29" s="19">
        <f>139-H28</f>
        <v>103.2</v>
      </c>
      <c r="I29" s="19">
        <f>D29+E29</f>
        <v>-192.2</v>
      </c>
      <c r="J29" s="19">
        <f>AVERAGE(I26:I29)</f>
        <v>-193.2125</v>
      </c>
      <c r="K29" s="19">
        <f>-H29+K28</f>
        <v>-1824.735</v>
      </c>
    </row>
    <row r="30" ht="20.05" customHeight="1">
      <c r="B30" s="31"/>
      <c r="C30" s="18">
        <f>478.7-SUM(C28:C29)</f>
        <v>154.3</v>
      </c>
      <c r="D30" s="19">
        <f>105.4-SUM(D28:D29)</f>
        <v>86.40000000000001</v>
      </c>
      <c r="E30" s="19">
        <f>-306.7-SUM(E28:E29)</f>
        <v>-95.09999999999999</v>
      </c>
      <c r="F30" s="19">
        <f>922.282-F29-F28</f>
        <v>783.282</v>
      </c>
      <c r="G30" s="19"/>
      <c r="H30" s="19">
        <f>922.3-SUM(H28:H29)</f>
        <v>783.3</v>
      </c>
      <c r="I30" s="19">
        <f>D30+E30</f>
        <v>-8.699999999999999</v>
      </c>
      <c r="J30" s="19">
        <f>AVERAGE(I27:I30)</f>
        <v>-118.19675</v>
      </c>
      <c r="K30" s="19">
        <f>-H30+K29</f>
        <v>-2608.035</v>
      </c>
    </row>
    <row r="31" ht="20.05" customHeight="1">
      <c r="B31" s="31"/>
      <c r="C31" s="18"/>
      <c r="D31" s="19"/>
      <c r="E31" s="19"/>
      <c r="F31" s="19"/>
      <c r="G31" s="19"/>
      <c r="H31" s="19"/>
      <c r="I31" s="19"/>
      <c r="J31" s="19">
        <f>SUM('Model'!F9:F10)</f>
        <v>33.419576460698</v>
      </c>
      <c r="K31" s="19">
        <f>'Model'!F32</f>
        <v>-2481.097689747160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67969" style="35" customWidth="1"/>
    <col min="3" max="11" width="9.98438" style="35" customWidth="1"/>
    <col min="12" max="16384" width="16.3516" style="35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5">
        <v>1</v>
      </c>
      <c r="C3" t="s" s="25">
        <v>50</v>
      </c>
      <c r="D3" t="s" s="25">
        <v>51</v>
      </c>
      <c r="E3" t="s" s="25">
        <v>22</v>
      </c>
      <c r="F3" t="s" s="25">
        <v>23</v>
      </c>
      <c r="G3" t="s" s="25">
        <v>11</v>
      </c>
      <c r="H3" t="s" s="25">
        <v>25</v>
      </c>
      <c r="I3" t="s" s="25">
        <v>26</v>
      </c>
      <c r="J3" t="s" s="25">
        <v>52</v>
      </c>
      <c r="K3" t="s" s="25">
        <v>34</v>
      </c>
    </row>
    <row r="4" ht="20.25" customHeight="1">
      <c r="B4" s="26">
        <v>2015</v>
      </c>
      <c r="C4" s="27">
        <v>603</v>
      </c>
      <c r="D4" s="29">
        <v>4116</v>
      </c>
      <c r="E4" s="29">
        <f>D4-C4</f>
        <v>3513</v>
      </c>
      <c r="F4" s="29">
        <f>31+556.4</f>
        <v>587.4</v>
      </c>
      <c r="G4" s="29">
        <v>1711</v>
      </c>
      <c r="H4" s="29">
        <v>2405</v>
      </c>
      <c r="I4" s="29">
        <f>G4+H4-C4-E4</f>
        <v>0</v>
      </c>
      <c r="J4" s="29">
        <f>C4-G4</f>
        <v>-1108</v>
      </c>
      <c r="K4" s="29"/>
    </row>
    <row r="5" ht="20.05" customHeight="1">
      <c r="B5" s="31"/>
      <c r="C5" s="18">
        <v>558</v>
      </c>
      <c r="D5" s="19">
        <v>4296</v>
      </c>
      <c r="E5" s="19">
        <f>D5-C5</f>
        <v>3738</v>
      </c>
      <c r="F5" s="19">
        <f>34.4+572.3</f>
        <v>606.7</v>
      </c>
      <c r="G5" s="19">
        <v>1820</v>
      </c>
      <c r="H5" s="19">
        <v>2476</v>
      </c>
      <c r="I5" s="19">
        <f>G5+H5-C5-E5</f>
        <v>0</v>
      </c>
      <c r="J5" s="19">
        <f>C5-G5</f>
        <v>-1262</v>
      </c>
      <c r="K5" s="19"/>
    </row>
    <row r="6" ht="20.05" customHeight="1">
      <c r="B6" s="31"/>
      <c r="C6" s="18">
        <v>580</v>
      </c>
      <c r="D6" s="19">
        <v>4427</v>
      </c>
      <c r="E6" s="19">
        <f>D6-C6</f>
        <v>3847</v>
      </c>
      <c r="F6" s="19">
        <f>532.9+7.6+37.9</f>
        <v>578.4</v>
      </c>
      <c r="G6" s="19">
        <v>1906</v>
      </c>
      <c r="H6" s="19">
        <v>2521</v>
      </c>
      <c r="I6" s="19">
        <f>G6+H6-C6-E6</f>
        <v>0</v>
      </c>
      <c r="J6" s="19">
        <f>C6-G6</f>
        <v>-1326</v>
      </c>
      <c r="K6" s="19"/>
    </row>
    <row r="7" ht="20.05" customHeight="1">
      <c r="B7" s="31"/>
      <c r="C7" s="18">
        <v>637</v>
      </c>
      <c r="D7" s="19">
        <v>4841</v>
      </c>
      <c r="E7" s="19">
        <f>D7-C7</f>
        <v>4204</v>
      </c>
      <c r="F7" s="19">
        <f>42.7+595.3+8.3</f>
        <v>646.3</v>
      </c>
      <c r="G7" s="19">
        <v>2236</v>
      </c>
      <c r="H7" s="19">
        <v>2605</v>
      </c>
      <c r="I7" s="19">
        <f>G7+H7-C7-E7</f>
        <v>0</v>
      </c>
      <c r="J7" s="19">
        <f>C7-G7</f>
        <v>-1599</v>
      </c>
      <c r="K7" s="19"/>
    </row>
    <row r="8" ht="20.05" customHeight="1">
      <c r="B8" s="32">
        <v>2016</v>
      </c>
      <c r="C8" s="18">
        <v>632</v>
      </c>
      <c r="D8" s="19">
        <v>5139</v>
      </c>
      <c r="E8" s="19">
        <f>D8-C8</f>
        <v>4507</v>
      </c>
      <c r="F8" s="19">
        <f>46+611+8.4</f>
        <v>665.4</v>
      </c>
      <c r="G8" s="19">
        <v>2477</v>
      </c>
      <c r="H8" s="19">
        <v>2662</v>
      </c>
      <c r="I8" s="19">
        <f>G8+H8-C8-E8</f>
        <v>0</v>
      </c>
      <c r="J8" s="19">
        <f>C8-G8</f>
        <v>-1845</v>
      </c>
      <c r="K8" s="19"/>
    </row>
    <row r="9" ht="20.05" customHeight="1">
      <c r="B9" s="31"/>
      <c r="C9" s="18">
        <v>780</v>
      </c>
      <c r="D9" s="19">
        <v>5497</v>
      </c>
      <c r="E9" s="19">
        <f>D9-C9</f>
        <v>4717</v>
      </c>
      <c r="F9" s="19">
        <f>50.3+625.5+8.5</f>
        <v>684.3</v>
      </c>
      <c r="G9" s="19">
        <v>2750</v>
      </c>
      <c r="H9" s="19">
        <v>2747</v>
      </c>
      <c r="I9" s="19">
        <f>G9+H9-C9-E9</f>
        <v>0</v>
      </c>
      <c r="J9" s="19">
        <f>C9-G9</f>
        <v>-1970</v>
      </c>
      <c r="K9" s="19"/>
    </row>
    <row r="10" ht="20.05" customHeight="1">
      <c r="B10" s="31"/>
      <c r="C10" s="18">
        <v>653</v>
      </c>
      <c r="D10" s="19">
        <v>5603</v>
      </c>
      <c r="E10" s="19">
        <f>D10-C10</f>
        <v>4950</v>
      </c>
      <c r="F10" s="19">
        <f>53.1+641+8.6</f>
        <v>702.7</v>
      </c>
      <c r="G10" s="19">
        <v>2803</v>
      </c>
      <c r="H10" s="19">
        <v>2800</v>
      </c>
      <c r="I10" s="19">
        <f>G10+H10-C10-E10</f>
        <v>0</v>
      </c>
      <c r="J10" s="19">
        <f>C10-G10</f>
        <v>-2150</v>
      </c>
      <c r="K10" s="19"/>
    </row>
    <row r="11" ht="20.05" customHeight="1">
      <c r="B11" s="31"/>
      <c r="C11" s="18">
        <v>624</v>
      </c>
      <c r="D11" s="19">
        <v>5522</v>
      </c>
      <c r="E11" s="19">
        <f>D11-C11</f>
        <v>4898</v>
      </c>
      <c r="F11" s="19">
        <f>57.7+660.7+12.8</f>
        <v>731.2</v>
      </c>
      <c r="G11" s="19">
        <v>2830</v>
      </c>
      <c r="H11" s="19">
        <v>2692</v>
      </c>
      <c r="I11" s="19">
        <f>G11+H11-C11-E11</f>
        <v>0</v>
      </c>
      <c r="J11" s="19">
        <f>C11-G11</f>
        <v>-2206</v>
      </c>
      <c r="K11" s="19"/>
    </row>
    <row r="12" ht="20.05" customHeight="1">
      <c r="B12" s="32">
        <v>2017</v>
      </c>
      <c r="C12" s="18">
        <v>526</v>
      </c>
      <c r="D12" s="19">
        <v>5579</v>
      </c>
      <c r="E12" s="19">
        <f>D12-C12</f>
        <v>5053</v>
      </c>
      <c r="F12" s="19">
        <f>62.7+678+13</f>
        <v>753.7</v>
      </c>
      <c r="G12" s="19">
        <v>2808</v>
      </c>
      <c r="H12" s="19">
        <v>2771</v>
      </c>
      <c r="I12" s="19">
        <f>G12+H12-C12-E12</f>
        <v>0</v>
      </c>
      <c r="J12" s="19">
        <f>C12-G12</f>
        <v>-2282</v>
      </c>
      <c r="K12" s="19"/>
    </row>
    <row r="13" ht="20.05" customHeight="1">
      <c r="B13" s="31"/>
      <c r="C13" s="18">
        <v>527</v>
      </c>
      <c r="D13" s="19">
        <v>5680</v>
      </c>
      <c r="E13" s="19">
        <f>D13-C13</f>
        <v>5153</v>
      </c>
      <c r="F13" s="19">
        <f>67.2+695.2+13.1</f>
        <v>775.5</v>
      </c>
      <c r="G13" s="19">
        <v>2811</v>
      </c>
      <c r="H13" s="19">
        <v>2869</v>
      </c>
      <c r="I13" s="19">
        <f>G13+H13-C13-E13</f>
        <v>0</v>
      </c>
      <c r="J13" s="19">
        <f>C13-G13</f>
        <v>-2284</v>
      </c>
      <c r="K13" s="19"/>
    </row>
    <row r="14" ht="20.05" customHeight="1">
      <c r="B14" s="31"/>
      <c r="C14" s="18">
        <v>471</v>
      </c>
      <c r="D14" s="19">
        <v>5785</v>
      </c>
      <c r="E14" s="19">
        <f>D14-C14</f>
        <v>5314</v>
      </c>
      <c r="F14" s="19">
        <f>72.1+712.7+13.3</f>
        <v>798.1</v>
      </c>
      <c r="G14" s="19">
        <v>2886</v>
      </c>
      <c r="H14" s="19">
        <v>2899</v>
      </c>
      <c r="I14" s="19">
        <f>G14+H14-C14-E14</f>
        <v>0</v>
      </c>
      <c r="J14" s="19">
        <f>C14-G14</f>
        <v>-2415</v>
      </c>
      <c r="K14" s="19"/>
    </row>
    <row r="15" ht="20.05" customHeight="1">
      <c r="B15" s="31"/>
      <c r="C15" s="18">
        <v>637</v>
      </c>
      <c r="D15" s="19">
        <v>5320</v>
      </c>
      <c r="E15" s="19">
        <f>D15-C15</f>
        <v>4683</v>
      </c>
      <c r="F15" s="19">
        <f>176+708+13.6</f>
        <v>897.6</v>
      </c>
      <c r="G15" s="19">
        <v>2785</v>
      </c>
      <c r="H15" s="19">
        <v>2535</v>
      </c>
      <c r="I15" s="19">
        <f>G15+H15-C15-E15</f>
        <v>0</v>
      </c>
      <c r="J15" s="19">
        <f>C15-G15</f>
        <v>-2148</v>
      </c>
      <c r="K15" s="19"/>
    </row>
    <row r="16" ht="20.05" customHeight="1">
      <c r="B16" s="32">
        <v>2018</v>
      </c>
      <c r="C16" s="18">
        <v>574</v>
      </c>
      <c r="D16" s="19">
        <v>5237</v>
      </c>
      <c r="E16" s="19">
        <f>D16-C16</f>
        <v>4663</v>
      </c>
      <c r="F16" s="19">
        <f>191+719.7+13.7</f>
        <v>924.4</v>
      </c>
      <c r="G16" s="19">
        <v>2746</v>
      </c>
      <c r="H16" s="19">
        <v>2491</v>
      </c>
      <c r="I16" s="19">
        <f>G16+H16-C16-E16</f>
        <v>0</v>
      </c>
      <c r="J16" s="19">
        <f>C16-G16</f>
        <v>-2172</v>
      </c>
      <c r="K16" s="19"/>
    </row>
    <row r="17" ht="20.05" customHeight="1">
      <c r="B17" s="31"/>
      <c r="C17" s="18">
        <v>584</v>
      </c>
      <c r="D17" s="19">
        <v>3509</v>
      </c>
      <c r="E17" s="19">
        <f>D17-C17</f>
        <v>2925</v>
      </c>
      <c r="F17" s="19">
        <f>69.5+732+16.3</f>
        <v>817.8</v>
      </c>
      <c r="G17" s="19">
        <v>1126</v>
      </c>
      <c r="H17" s="19">
        <v>2383</v>
      </c>
      <c r="I17" s="19">
        <f>G17+H17-C17-E17</f>
        <v>0</v>
      </c>
      <c r="J17" s="19">
        <f>C17-G17</f>
        <v>-542</v>
      </c>
      <c r="K17" s="19"/>
    </row>
    <row r="18" ht="20.05" customHeight="1">
      <c r="B18" s="31"/>
      <c r="C18" s="18">
        <v>194</v>
      </c>
      <c r="D18" s="19">
        <v>3772</v>
      </c>
      <c r="E18" s="19">
        <f>D18-C18</f>
        <v>3578</v>
      </c>
      <c r="F18" s="19">
        <f>69.5+744.6+18</f>
        <v>832.1</v>
      </c>
      <c r="G18" s="19">
        <v>1322</v>
      </c>
      <c r="H18" s="19">
        <v>2450</v>
      </c>
      <c r="I18" s="19">
        <f>G18+H18-C18-E18</f>
        <v>0</v>
      </c>
      <c r="J18" s="19">
        <f>C18-G18</f>
        <v>-1128</v>
      </c>
      <c r="K18" s="19"/>
    </row>
    <row r="19" ht="20.05" customHeight="1">
      <c r="B19" s="31"/>
      <c r="C19" s="18">
        <v>664</v>
      </c>
      <c r="D19" s="19">
        <v>4306</v>
      </c>
      <c r="E19" s="19">
        <f>D19-C19</f>
        <v>3642</v>
      </c>
      <c r="F19" s="19">
        <f>78.5+757.2+21.7</f>
        <v>857.4</v>
      </c>
      <c r="G19" s="19">
        <v>1327</v>
      </c>
      <c r="H19" s="19">
        <v>2979</v>
      </c>
      <c r="I19" s="19">
        <f>G19+H19-C19-E19</f>
        <v>0</v>
      </c>
      <c r="J19" s="19">
        <f>C19-G19</f>
        <v>-663</v>
      </c>
      <c r="K19" s="19"/>
    </row>
    <row r="20" ht="20.05" customHeight="1">
      <c r="B20" s="32">
        <v>2019</v>
      </c>
      <c r="C20" s="18">
        <v>629</v>
      </c>
      <c r="D20" s="19">
        <v>4280</v>
      </c>
      <c r="E20" s="19">
        <f>D20-C20</f>
        <v>3651</v>
      </c>
      <c r="F20" s="19">
        <f>8.8+789.1+24.3</f>
        <v>822.2</v>
      </c>
      <c r="G20" s="19">
        <v>1249</v>
      </c>
      <c r="H20" s="19">
        <v>3031</v>
      </c>
      <c r="I20" s="19">
        <f>G20+H20-C20-E20</f>
        <v>0</v>
      </c>
      <c r="J20" s="19">
        <f>C20-G20</f>
        <v>-620</v>
      </c>
      <c r="K20" s="19"/>
    </row>
    <row r="21" ht="20.05" customHeight="1">
      <c r="B21" s="31"/>
      <c r="C21" s="18">
        <v>607</v>
      </c>
      <c r="D21" s="19">
        <v>4372</v>
      </c>
      <c r="E21" s="19">
        <f>D21-C21</f>
        <v>3765</v>
      </c>
      <c r="F21" s="19">
        <f>88.3+781.1+27.1</f>
        <v>896.5</v>
      </c>
      <c r="G21" s="19">
        <v>1245</v>
      </c>
      <c r="H21" s="19">
        <v>3127</v>
      </c>
      <c r="I21" s="19">
        <f>G21+H21-C21-E21</f>
        <v>0</v>
      </c>
      <c r="J21" s="19">
        <f>C21-G21</f>
        <v>-638</v>
      </c>
      <c r="K21" s="22"/>
    </row>
    <row r="22" ht="20.05" customHeight="1">
      <c r="B22" s="31"/>
      <c r="C22" s="18">
        <v>587</v>
      </c>
      <c r="D22" s="19">
        <v>4885</v>
      </c>
      <c r="E22" s="19">
        <f>D22-C22</f>
        <v>4298</v>
      </c>
      <c r="F22" s="19">
        <f>76.1+793+29.8</f>
        <v>898.9</v>
      </c>
      <c r="G22" s="19">
        <v>1708</v>
      </c>
      <c r="H22" s="19">
        <v>3177</v>
      </c>
      <c r="I22" s="19">
        <f>G22+H22-C22-E22</f>
        <v>0</v>
      </c>
      <c r="J22" s="19">
        <f>C22-G22</f>
        <v>-1121</v>
      </c>
      <c r="K22" s="22"/>
    </row>
    <row r="23" ht="20.05" customHeight="1">
      <c r="B23" s="31"/>
      <c r="C23" s="18">
        <v>590</v>
      </c>
      <c r="D23" s="19">
        <v>5077</v>
      </c>
      <c r="E23" s="19">
        <f>D23-C23</f>
        <v>4487</v>
      </c>
      <c r="F23" s="19">
        <f>98.7+811+32.7</f>
        <v>942.4</v>
      </c>
      <c r="G23" s="19">
        <v>1884</v>
      </c>
      <c r="H23" s="19">
        <v>3193</v>
      </c>
      <c r="I23" s="19">
        <f>G23+H23-C23-E23</f>
        <v>0</v>
      </c>
      <c r="J23" s="19">
        <f>C23-G23</f>
        <v>-1294</v>
      </c>
      <c r="K23" s="22"/>
    </row>
    <row r="24" ht="20.05" customHeight="1">
      <c r="B24" s="32">
        <v>2020</v>
      </c>
      <c r="C24" s="18">
        <v>548</v>
      </c>
      <c r="D24" s="19">
        <v>5619</v>
      </c>
      <c r="E24" s="19">
        <f>D24-C24</f>
        <v>5071</v>
      </c>
      <c r="F24" s="19">
        <f>103.9+823.5+35.6</f>
        <v>963</v>
      </c>
      <c r="G24" s="19">
        <v>2293</v>
      </c>
      <c r="H24" s="19">
        <v>3326</v>
      </c>
      <c r="I24" s="19">
        <f>G24+H24-C24-E24</f>
        <v>0</v>
      </c>
      <c r="J24" s="19">
        <f>C24-G24</f>
        <v>-1745</v>
      </c>
      <c r="K24" s="22"/>
    </row>
    <row r="25" ht="20.05" customHeight="1">
      <c r="B25" s="31"/>
      <c r="C25" s="18">
        <v>513</v>
      </c>
      <c r="D25" s="19">
        <v>5712</v>
      </c>
      <c r="E25" s="19">
        <f>D25-C25</f>
        <v>5199</v>
      </c>
      <c r="F25" s="19">
        <f>108.7+830+38.5</f>
        <v>977.2</v>
      </c>
      <c r="G25" s="19">
        <v>2395</v>
      </c>
      <c r="H25" s="19">
        <v>3317</v>
      </c>
      <c r="I25" s="19">
        <f>G25+H25-C25-E25</f>
        <v>0</v>
      </c>
      <c r="J25" s="19">
        <f>C25-G25</f>
        <v>-1882</v>
      </c>
      <c r="K25" s="22"/>
    </row>
    <row r="26" ht="20.05" customHeight="1">
      <c r="B26" s="31"/>
      <c r="C26" s="18">
        <v>452</v>
      </c>
      <c r="D26" s="19">
        <v>5881</v>
      </c>
      <c r="E26" s="19">
        <f>D26-C26</f>
        <v>5429</v>
      </c>
      <c r="F26" s="19">
        <f>114+840+41</f>
        <v>995</v>
      </c>
      <c r="G26" s="19">
        <v>2526</v>
      </c>
      <c r="H26" s="19">
        <v>3355</v>
      </c>
      <c r="I26" s="19">
        <f>G26+H26-C26-E26</f>
        <v>0</v>
      </c>
      <c r="J26" s="19">
        <f>C26-G26</f>
        <v>-2074</v>
      </c>
      <c r="K26" s="19"/>
    </row>
    <row r="27" ht="20.05" customHeight="1">
      <c r="B27" s="31"/>
      <c r="C27" s="18">
        <v>366</v>
      </c>
      <c r="D27" s="19">
        <v>5847</v>
      </c>
      <c r="E27" s="19">
        <f>D27-C27</f>
        <v>5481</v>
      </c>
      <c r="F27" s="19">
        <f>118+852+44+7</f>
        <v>1021</v>
      </c>
      <c r="G27" s="19">
        <v>2492</v>
      </c>
      <c r="H27" s="19">
        <v>3355</v>
      </c>
      <c r="I27" s="19">
        <f>G27+H27-C27-E27</f>
        <v>0</v>
      </c>
      <c r="J27" s="19">
        <f>C27-G27</f>
        <v>-2126</v>
      </c>
      <c r="K27" s="22"/>
    </row>
    <row r="28" ht="20.05" customHeight="1">
      <c r="B28" s="32">
        <v>2021</v>
      </c>
      <c r="C28" s="18">
        <v>397</v>
      </c>
      <c r="D28" s="19">
        <v>6027</v>
      </c>
      <c r="E28" s="19">
        <f>D28-C28</f>
        <v>5630</v>
      </c>
      <c r="F28" s="19">
        <f>124+9+47+861</f>
        <v>1041</v>
      </c>
      <c r="G28" s="19">
        <v>2646</v>
      </c>
      <c r="H28" s="19">
        <v>3381</v>
      </c>
      <c r="I28" s="19">
        <f>G28+H28-C28-E28</f>
        <v>0</v>
      </c>
      <c r="J28" s="19">
        <f>C28-G28</f>
        <v>-2249</v>
      </c>
      <c r="K28" s="19"/>
    </row>
    <row r="29" ht="20.05" customHeight="1">
      <c r="B29" s="31"/>
      <c r="C29" s="18">
        <v>330</v>
      </c>
      <c r="D29" s="19">
        <v>5979</v>
      </c>
      <c r="E29" s="19">
        <f>D29-C29</f>
        <v>5649</v>
      </c>
      <c r="F29" s="19">
        <f>129+882+50+9</f>
        <v>1070</v>
      </c>
      <c r="G29" s="19">
        <v>2594</v>
      </c>
      <c r="H29" s="19">
        <v>3385</v>
      </c>
      <c r="I29" s="19">
        <f>G29+H29-C29-E29</f>
        <v>0</v>
      </c>
      <c r="J29" s="19">
        <f>C29-G29</f>
        <v>-2264</v>
      </c>
      <c r="K29" s="19"/>
    </row>
    <row r="30" ht="20.05" customHeight="1">
      <c r="B30" s="31"/>
      <c r="C30" s="18">
        <v>308</v>
      </c>
      <c r="D30" s="19">
        <v>6712</v>
      </c>
      <c r="E30" s="19">
        <f>D30-C30</f>
        <v>6404</v>
      </c>
      <c r="F30" s="19">
        <f>133+904+53+13</f>
        <v>1103</v>
      </c>
      <c r="G30" s="19">
        <v>3339</v>
      </c>
      <c r="H30" s="19">
        <v>3373</v>
      </c>
      <c r="I30" s="19">
        <f>G30+H30-C30-E30</f>
        <v>0</v>
      </c>
      <c r="J30" s="19">
        <f>C30-G30</f>
        <v>-3031</v>
      </c>
      <c r="K30" s="19">
        <f>J30</f>
        <v>-3031</v>
      </c>
    </row>
    <row r="31" ht="20.05" customHeight="1">
      <c r="B31" s="31"/>
      <c r="C31" s="18"/>
      <c r="D31" s="19"/>
      <c r="E31" s="19">
        <f>D31-C31</f>
        <v>0</v>
      </c>
      <c r="F31" s="19"/>
      <c r="G31" s="19"/>
      <c r="H31" s="19"/>
      <c r="I31" s="19"/>
      <c r="J31" s="19"/>
      <c r="K31" s="19">
        <f>'Model'!F30</f>
        <v>-2904.062689747160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10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6" customWidth="1"/>
    <col min="2" max="4" width="11.0547" style="36" customWidth="1"/>
    <col min="5" max="16384" width="16.3516" style="36" customWidth="1"/>
  </cols>
  <sheetData>
    <row r="1" ht="40" customHeight="1"/>
    <row r="2" ht="27.65" customHeight="1">
      <c r="B2" t="s" s="2">
        <v>53</v>
      </c>
      <c r="C2" s="2"/>
      <c r="D2" s="2"/>
    </row>
    <row r="3" ht="20.25" customHeight="1">
      <c r="B3" s="4"/>
      <c r="C3" t="s" s="3">
        <v>54</v>
      </c>
      <c r="D3" t="s" s="3">
        <v>55</v>
      </c>
    </row>
    <row r="4" ht="8.75" customHeight="1" hidden="1">
      <c r="B4" s="37">
        <v>2007</v>
      </c>
      <c r="C4" s="38">
        <v>298</v>
      </c>
      <c r="D4" s="39"/>
    </row>
    <row r="5" ht="8.75" customHeight="1" hidden="1">
      <c r="B5" s="40"/>
      <c r="C5" s="38">
        <v>317</v>
      </c>
      <c r="D5" s="39"/>
    </row>
    <row r="6" ht="8.75" customHeight="1" hidden="1">
      <c r="B6" s="40"/>
      <c r="C6" s="38">
        <v>261</v>
      </c>
      <c r="D6" s="39"/>
    </row>
    <row r="7" ht="8.75" customHeight="1" hidden="1">
      <c r="B7" s="40"/>
      <c r="C7" s="38">
        <v>277</v>
      </c>
      <c r="D7" s="39"/>
    </row>
    <row r="8" ht="8.75" customHeight="1" hidden="1">
      <c r="B8" s="40"/>
      <c r="C8" s="38">
        <v>366</v>
      </c>
      <c r="D8" s="39"/>
    </row>
    <row r="9" ht="8.75" customHeight="1" hidden="1">
      <c r="B9" s="40"/>
      <c r="C9" s="38">
        <v>315</v>
      </c>
      <c r="D9" s="39"/>
    </row>
    <row r="10" ht="8.75" customHeight="1" hidden="1">
      <c r="B10" s="40"/>
      <c r="C10" s="38">
        <v>383</v>
      </c>
      <c r="D10" s="39"/>
    </row>
    <row r="11" ht="8.75" customHeight="1" hidden="1">
      <c r="B11" s="40"/>
      <c r="C11" s="38">
        <v>358</v>
      </c>
      <c r="D11" s="39"/>
    </row>
    <row r="12" ht="8.75" customHeight="1" hidden="1">
      <c r="B12" s="40"/>
      <c r="C12" s="38">
        <v>353</v>
      </c>
      <c r="D12" s="39"/>
    </row>
    <row r="13" ht="8.75" customHeight="1" hidden="1">
      <c r="B13" s="40"/>
      <c r="C13" s="38">
        <v>338</v>
      </c>
      <c r="D13" s="39"/>
    </row>
    <row r="14" ht="8.75" customHeight="1" hidden="1">
      <c r="B14" s="40"/>
      <c r="C14" s="38">
        <v>270</v>
      </c>
      <c r="D14" s="39"/>
    </row>
    <row r="15" ht="8.75" customHeight="1" hidden="1">
      <c r="B15" s="40"/>
      <c r="C15" s="38">
        <v>293</v>
      </c>
      <c r="D15" s="39"/>
    </row>
    <row r="16" ht="8.75" customHeight="1" hidden="1">
      <c r="B16" s="37">
        <v>2008</v>
      </c>
      <c r="C16" s="38">
        <v>278</v>
      </c>
      <c r="D16" s="39"/>
    </row>
    <row r="17" ht="8.75" customHeight="1" hidden="1">
      <c r="B17" s="40"/>
      <c r="C17" s="38">
        <v>225</v>
      </c>
      <c r="D17" s="39"/>
    </row>
    <row r="18" ht="8.75" customHeight="1" hidden="1">
      <c r="B18" s="40"/>
      <c r="C18" s="38">
        <v>168</v>
      </c>
      <c r="D18" s="39"/>
    </row>
    <row r="19" ht="8.75" customHeight="1" hidden="1">
      <c r="B19" s="40"/>
      <c r="C19" s="38">
        <v>155</v>
      </c>
      <c r="D19" s="39"/>
    </row>
    <row r="20" ht="8.75" customHeight="1" hidden="1">
      <c r="B20" s="40"/>
      <c r="C20" s="38">
        <v>168</v>
      </c>
      <c r="D20" s="39"/>
    </row>
    <row r="21" ht="8.75" customHeight="1" hidden="1">
      <c r="B21" s="40"/>
      <c r="C21" s="38">
        <v>130</v>
      </c>
      <c r="D21" s="39"/>
    </row>
    <row r="22" ht="8.75" customHeight="1" hidden="1">
      <c r="B22" s="40"/>
      <c r="C22" s="38">
        <v>185</v>
      </c>
      <c r="D22" s="39"/>
    </row>
    <row r="23" ht="8.75" customHeight="1" hidden="1">
      <c r="B23" s="40"/>
      <c r="C23" s="38">
        <v>165</v>
      </c>
      <c r="D23" s="39"/>
    </row>
    <row r="24" ht="8.75" customHeight="1" hidden="1">
      <c r="B24" s="40"/>
      <c r="C24" s="38">
        <v>143</v>
      </c>
      <c r="D24" s="39"/>
    </row>
    <row r="25" ht="8.75" customHeight="1" hidden="1">
      <c r="B25" s="40"/>
      <c r="C25" s="38">
        <v>103</v>
      </c>
      <c r="D25" s="39"/>
    </row>
    <row r="26" ht="8.75" customHeight="1" hidden="1">
      <c r="B26" s="40"/>
      <c r="C26" s="38">
        <v>100</v>
      </c>
      <c r="D26" s="39"/>
    </row>
    <row r="27" ht="8.75" customHeight="1" hidden="1">
      <c r="B27" s="40"/>
      <c r="C27" s="38">
        <v>83</v>
      </c>
      <c r="D27" s="39"/>
    </row>
    <row r="28" ht="8.75" customHeight="1" hidden="1">
      <c r="B28" s="37">
        <v>2009</v>
      </c>
      <c r="C28" s="38">
        <v>80</v>
      </c>
      <c r="D28" s="39"/>
    </row>
    <row r="29" ht="8.75" customHeight="1" hidden="1">
      <c r="B29" s="40"/>
      <c r="C29" s="38">
        <v>82</v>
      </c>
      <c r="D29" s="39"/>
    </row>
    <row r="30" ht="8.75" customHeight="1" hidden="1">
      <c r="B30" s="40"/>
      <c r="C30" s="38">
        <v>96</v>
      </c>
      <c r="D30" s="39"/>
    </row>
    <row r="31" ht="8.75" customHeight="1" hidden="1">
      <c r="B31" s="40"/>
      <c r="C31" s="38">
        <v>130</v>
      </c>
      <c r="D31" s="39"/>
    </row>
    <row r="32" ht="8.75" customHeight="1" hidden="1">
      <c r="B32" s="40"/>
      <c r="C32" s="38">
        <v>178</v>
      </c>
      <c r="D32" s="39"/>
    </row>
    <row r="33" ht="8.75" customHeight="1" hidden="1">
      <c r="B33" s="40"/>
      <c r="C33" s="38">
        <v>193</v>
      </c>
      <c r="D33" s="39"/>
    </row>
    <row r="34" ht="8.75" customHeight="1" hidden="1">
      <c r="B34" s="40"/>
      <c r="C34" s="38">
        <v>275</v>
      </c>
      <c r="D34" s="39"/>
    </row>
    <row r="35" ht="8.75" customHeight="1" hidden="1">
      <c r="B35" s="40"/>
      <c r="C35" s="38">
        <v>250</v>
      </c>
      <c r="D35" s="39"/>
    </row>
    <row r="36" ht="8.75" customHeight="1" hidden="1">
      <c r="B36" s="40"/>
      <c r="C36" s="38">
        <v>290</v>
      </c>
      <c r="D36" s="39"/>
    </row>
    <row r="37" ht="8.75" customHeight="1" hidden="1">
      <c r="B37" s="40"/>
      <c r="C37" s="38">
        <v>290</v>
      </c>
      <c r="D37" s="39"/>
    </row>
    <row r="38" ht="8.75" customHeight="1" hidden="1">
      <c r="B38" s="40"/>
      <c r="C38" s="38">
        <v>300</v>
      </c>
      <c r="D38" s="39"/>
    </row>
    <row r="39" ht="8.75" customHeight="1" hidden="1">
      <c r="B39" s="40"/>
      <c r="C39" s="38">
        <v>300</v>
      </c>
      <c r="D39" s="39"/>
    </row>
    <row r="40" ht="8.75" customHeight="1" hidden="1">
      <c r="B40" s="37">
        <v>2010</v>
      </c>
      <c r="C40" s="38">
        <v>350</v>
      </c>
      <c r="D40" s="39"/>
    </row>
    <row r="41" ht="8.75" customHeight="1" hidden="1">
      <c r="B41" s="40"/>
      <c r="C41" s="38">
        <v>360</v>
      </c>
      <c r="D41" s="39"/>
    </row>
    <row r="42" ht="8.75" customHeight="1" hidden="1">
      <c r="B42" s="40"/>
      <c r="C42" s="38">
        <v>415</v>
      </c>
      <c r="D42" s="39"/>
    </row>
    <row r="43" ht="8.75" customHeight="1" hidden="1">
      <c r="B43" s="40"/>
      <c r="C43" s="38">
        <v>490</v>
      </c>
      <c r="D43" s="39"/>
    </row>
    <row r="44" ht="8.75" customHeight="1" hidden="1">
      <c r="B44" s="40"/>
      <c r="C44" s="38">
        <v>385</v>
      </c>
      <c r="D44" s="39"/>
    </row>
    <row r="45" ht="8.75" customHeight="1" hidden="1">
      <c r="B45" s="40"/>
      <c r="C45" s="38">
        <v>425</v>
      </c>
      <c r="D45" s="39"/>
    </row>
    <row r="46" ht="8.75" customHeight="1" hidden="1">
      <c r="B46" s="40"/>
      <c r="C46" s="38">
        <v>465</v>
      </c>
      <c r="D46" s="39"/>
    </row>
    <row r="47" ht="8.75" customHeight="1" hidden="1">
      <c r="B47" s="40"/>
      <c r="C47" s="38">
        <v>460</v>
      </c>
      <c r="D47" s="39"/>
    </row>
    <row r="48" ht="8.75" customHeight="1" hidden="1">
      <c r="B48" s="40"/>
      <c r="C48" s="38">
        <v>550</v>
      </c>
      <c r="D48" s="39"/>
    </row>
    <row r="49" ht="8.75" customHeight="1" hidden="1">
      <c r="B49" s="40"/>
      <c r="C49" s="38">
        <v>565</v>
      </c>
      <c r="D49" s="39"/>
    </row>
    <row r="50" ht="8.75" customHeight="1" hidden="1">
      <c r="B50" s="40"/>
      <c r="C50" s="38">
        <v>580</v>
      </c>
      <c r="D50" s="39"/>
    </row>
    <row r="51" ht="8.75" customHeight="1" hidden="1">
      <c r="B51" s="40"/>
      <c r="C51" s="38">
        <v>545</v>
      </c>
      <c r="D51" s="39"/>
    </row>
    <row r="52" ht="8.75" customHeight="1" hidden="1">
      <c r="B52" s="37">
        <v>2011</v>
      </c>
      <c r="C52" s="38">
        <v>435</v>
      </c>
      <c r="D52" s="39"/>
    </row>
    <row r="53" ht="8.75" customHeight="1" hidden="1">
      <c r="B53" s="40"/>
      <c r="C53" s="38">
        <v>500</v>
      </c>
      <c r="D53" s="39"/>
    </row>
    <row r="54" ht="8.75" customHeight="1" hidden="1">
      <c r="B54" s="40"/>
      <c r="C54" s="38">
        <v>580</v>
      </c>
      <c r="D54" s="39"/>
    </row>
    <row r="55" ht="8.75" customHeight="1" hidden="1">
      <c r="B55" s="40"/>
      <c r="C55" s="38">
        <v>630</v>
      </c>
      <c r="D55" s="39"/>
    </row>
    <row r="56" ht="8.75" customHeight="1" hidden="1">
      <c r="B56" s="40"/>
      <c r="C56" s="38">
        <v>570</v>
      </c>
      <c r="D56" s="39"/>
    </row>
    <row r="57" ht="8.75" customHeight="1" hidden="1">
      <c r="B57" s="40"/>
      <c r="C57" s="38">
        <v>570</v>
      </c>
      <c r="D57" s="39"/>
    </row>
    <row r="58" ht="8.75" customHeight="1" hidden="1">
      <c r="B58" s="40"/>
      <c r="C58" s="38">
        <v>640</v>
      </c>
      <c r="D58" s="39"/>
    </row>
    <row r="59" ht="8.75" customHeight="1" hidden="1">
      <c r="B59" s="40"/>
      <c r="C59" s="38">
        <v>605</v>
      </c>
      <c r="D59" s="39"/>
    </row>
    <row r="60" ht="8.75" customHeight="1" hidden="1">
      <c r="B60" s="40"/>
      <c r="C60" s="38">
        <v>500</v>
      </c>
      <c r="D60" s="39"/>
    </row>
    <row r="61" ht="8.75" customHeight="1" hidden="1">
      <c r="B61" s="40"/>
      <c r="C61" s="38">
        <v>585</v>
      </c>
      <c r="D61" s="39"/>
    </row>
    <row r="62" ht="8.75" customHeight="1" hidden="1">
      <c r="B62" s="40"/>
      <c r="C62" s="38">
        <v>530</v>
      </c>
      <c r="D62" s="39"/>
    </row>
    <row r="63" ht="8.75" customHeight="1" hidden="1">
      <c r="B63" s="40"/>
      <c r="C63" s="38">
        <v>620</v>
      </c>
      <c r="D63" s="39"/>
    </row>
    <row r="64" ht="8.75" customHeight="1" hidden="1">
      <c r="B64" s="37">
        <v>2012</v>
      </c>
      <c r="C64" s="38">
        <v>600</v>
      </c>
      <c r="D64" s="39"/>
    </row>
    <row r="65" ht="8.75" customHeight="1" hidden="1">
      <c r="B65" s="40"/>
      <c r="C65" s="38">
        <v>645</v>
      </c>
      <c r="D65" s="39"/>
    </row>
    <row r="66" ht="8.75" customHeight="1" hidden="1">
      <c r="B66" s="40"/>
      <c r="C66" s="38">
        <v>785</v>
      </c>
      <c r="D66" s="39"/>
    </row>
    <row r="67" ht="8.75" customHeight="1" hidden="1">
      <c r="B67" s="40"/>
      <c r="C67" s="38">
        <v>865</v>
      </c>
      <c r="D67" s="39"/>
    </row>
    <row r="68" ht="8.75" customHeight="1" hidden="1">
      <c r="B68" s="40"/>
      <c r="C68" s="38">
        <v>710</v>
      </c>
      <c r="D68" s="39"/>
    </row>
    <row r="69" ht="8.75" customHeight="1" hidden="1">
      <c r="B69" s="40"/>
      <c r="C69" s="38">
        <v>810</v>
      </c>
      <c r="D69" s="39"/>
    </row>
    <row r="70" ht="8.75" customHeight="1" hidden="1">
      <c r="B70" s="40"/>
      <c r="C70" s="38">
        <v>810</v>
      </c>
      <c r="D70" s="39"/>
    </row>
    <row r="71" ht="8.75" customHeight="1" hidden="1">
      <c r="B71" s="40"/>
      <c r="C71" s="38">
        <v>735</v>
      </c>
      <c r="D71" s="39"/>
    </row>
    <row r="72" ht="8.75" customHeight="1" hidden="1">
      <c r="B72" s="40"/>
      <c r="C72" s="38">
        <v>840</v>
      </c>
      <c r="D72" s="39"/>
    </row>
    <row r="73" ht="8.75" customHeight="1" hidden="1">
      <c r="B73" s="40"/>
      <c r="C73" s="38">
        <v>875</v>
      </c>
      <c r="D73" s="39"/>
    </row>
    <row r="74" ht="8.75" customHeight="1" hidden="1">
      <c r="B74" s="40"/>
      <c r="C74" s="38">
        <v>960</v>
      </c>
      <c r="D74" s="39"/>
    </row>
    <row r="75" ht="8.75" customHeight="1" hidden="1">
      <c r="B75" s="40"/>
      <c r="C75" s="38">
        <v>950</v>
      </c>
      <c r="D75" s="39"/>
    </row>
    <row r="76" ht="8.75" customHeight="1" hidden="1">
      <c r="B76" s="37">
        <v>2013</v>
      </c>
      <c r="C76" s="38">
        <v>945</v>
      </c>
      <c r="D76" s="39"/>
    </row>
    <row r="77" ht="8.75" customHeight="1" hidden="1">
      <c r="B77" s="40"/>
      <c r="C77" s="41">
        <v>1163</v>
      </c>
      <c r="D77" s="39"/>
    </row>
    <row r="78" ht="8.75" customHeight="1" hidden="1">
      <c r="B78" s="40"/>
      <c r="C78" s="41">
        <v>1238</v>
      </c>
      <c r="D78" s="39"/>
    </row>
    <row r="79" ht="8.75" customHeight="1" hidden="1">
      <c r="B79" s="40"/>
      <c r="C79" s="41">
        <v>1300</v>
      </c>
      <c r="D79" s="39"/>
    </row>
    <row r="80" ht="8.75" customHeight="1" hidden="1">
      <c r="B80" s="40"/>
      <c r="C80" s="41">
        <v>1400</v>
      </c>
      <c r="D80" s="39"/>
    </row>
    <row r="81" ht="8.75" customHeight="1" hidden="1">
      <c r="B81" s="40"/>
      <c r="C81" s="41">
        <v>1290</v>
      </c>
      <c r="D81" s="39"/>
    </row>
    <row r="82" ht="8.75" customHeight="1" hidden="1">
      <c r="B82" s="40"/>
      <c r="C82" s="41">
        <v>1000</v>
      </c>
      <c r="D82" s="39"/>
    </row>
    <row r="83" ht="8.75" customHeight="1" hidden="1">
      <c r="B83" s="40"/>
      <c r="C83" s="38">
        <v>780</v>
      </c>
      <c r="D83" s="39"/>
    </row>
    <row r="84" ht="8.75" customHeight="1" hidden="1">
      <c r="B84" s="40"/>
      <c r="C84" s="38">
        <v>930</v>
      </c>
      <c r="D84" s="39"/>
    </row>
    <row r="85" ht="8.75" customHeight="1" hidden="1">
      <c r="B85" s="40"/>
      <c r="C85" s="41">
        <v>1050</v>
      </c>
      <c r="D85" s="39"/>
    </row>
    <row r="86" ht="8.75" customHeight="1" hidden="1">
      <c r="B86" s="40"/>
      <c r="C86" s="38">
        <v>900</v>
      </c>
      <c r="D86" s="39"/>
    </row>
    <row r="87" ht="8.75" customHeight="1" hidden="1">
      <c r="B87" s="40"/>
      <c r="C87" s="38">
        <v>780</v>
      </c>
      <c r="D87" s="39"/>
    </row>
    <row r="88" ht="20.25" customHeight="1">
      <c r="B88" s="26">
        <v>2018</v>
      </c>
      <c r="C88" s="42">
        <v>202</v>
      </c>
      <c r="D88" s="43"/>
    </row>
    <row r="89" ht="20.05" customHeight="1">
      <c r="B89" s="31"/>
      <c r="C89" s="16">
        <v>197</v>
      </c>
      <c r="D89" s="17"/>
    </row>
    <row r="90" ht="20.05" customHeight="1">
      <c r="B90" s="31"/>
      <c r="C90" s="16">
        <v>243</v>
      </c>
      <c r="D90" s="17"/>
    </row>
    <row r="91" ht="20.05" customHeight="1">
      <c r="B91" s="31"/>
      <c r="C91" s="16">
        <v>206</v>
      </c>
      <c r="D91" s="17"/>
    </row>
    <row r="92" ht="20.05" customHeight="1">
      <c r="B92" s="32">
        <v>2019</v>
      </c>
      <c r="C92" s="16">
        <v>204</v>
      </c>
      <c r="D92" s="17"/>
    </row>
    <row r="93" ht="20.05" customHeight="1">
      <c r="B93" s="31"/>
      <c r="C93" s="16">
        <v>195</v>
      </c>
      <c r="D93" s="17"/>
    </row>
    <row r="94" ht="20.05" customHeight="1">
      <c r="B94" s="31"/>
      <c r="C94" s="16">
        <v>195</v>
      </c>
      <c r="D94" s="17"/>
    </row>
    <row r="95" ht="20.05" customHeight="1">
      <c r="B95" s="31"/>
      <c r="C95" s="18">
        <v>220</v>
      </c>
      <c r="D95" s="17"/>
    </row>
    <row r="96" ht="20.05" customHeight="1">
      <c r="B96" s="32">
        <v>2020</v>
      </c>
      <c r="C96" s="18">
        <v>120</v>
      </c>
      <c r="D96" s="17"/>
    </row>
    <row r="97" ht="20.05" customHeight="1">
      <c r="B97" s="31"/>
      <c r="C97" s="18">
        <v>105</v>
      </c>
      <c r="D97" s="17"/>
    </row>
    <row r="98" ht="20.05" customHeight="1">
      <c r="B98" s="31"/>
      <c r="C98" s="18">
        <v>103</v>
      </c>
      <c r="D98" s="17"/>
    </row>
    <row r="99" ht="20.05" customHeight="1">
      <c r="B99" s="31"/>
      <c r="C99" s="18">
        <v>224</v>
      </c>
      <c r="D99" s="19"/>
    </row>
    <row r="100" ht="20.05" customHeight="1">
      <c r="B100" s="32">
        <v>2021</v>
      </c>
      <c r="C100" s="18">
        <v>145</v>
      </c>
      <c r="D100" s="19"/>
    </row>
    <row r="101" ht="20.05" customHeight="1">
      <c r="B101" s="31"/>
      <c r="C101" s="18">
        <v>126</v>
      </c>
      <c r="D101" s="19"/>
    </row>
    <row r="102" ht="20.05" customHeight="1">
      <c r="B102" s="31"/>
      <c r="C102" s="18">
        <v>126</v>
      </c>
      <c r="D102" s="19">
        <v>125.228755367289</v>
      </c>
    </row>
    <row r="103" ht="20.05" customHeight="1">
      <c r="B103" s="31"/>
      <c r="C103" s="18">
        <v>116</v>
      </c>
      <c r="D103" s="19">
        <f>C103</f>
        <v>116</v>
      </c>
    </row>
    <row r="104" ht="20.05" customHeight="1">
      <c r="B104" s="31"/>
      <c r="C104" s="18"/>
      <c r="D104" s="19">
        <f>'Model'!F42</f>
        <v>109.886029771116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