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ales - Quarterly sales" sheetId="2" r:id="rId5"/>
    <sheet name="Cashflow  - Quarterly Cashflow" sheetId="3" r:id="rId6"/>
    <sheet name="Balance sheet - Assets" sheetId="4" r:id="rId7"/>
    <sheet name="Share price - MCD" sheetId="5" r:id="rId8"/>
    <sheet name="Model - Financial model" sheetId="6" r:id="rId9"/>
    <sheet name="Valuation  - Valuation" sheetId="7" r:id="rId10"/>
  </sheets>
</workbook>
</file>

<file path=xl/sharedStrings.xml><?xml version="1.0" encoding="utf-8"?>
<sst xmlns="http://schemas.openxmlformats.org/spreadsheetml/2006/main" uniqueCount="75">
  <si>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</si>
  <si>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</si>
  <si>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</si>
  <si>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</si>
  <si>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Sales</t>
  </si>
  <si>
    <t>Quarterly sales</t>
  </si>
  <si>
    <t>Sales - Quarterly sales</t>
  </si>
  <si>
    <t>$m</t>
  </si>
  <si>
    <t>Total sales</t>
  </si>
  <si>
    <t xml:space="preserve">Forecast </t>
  </si>
  <si>
    <t xml:space="preserve">Sales growth </t>
  </si>
  <si>
    <t xml:space="preserve">Cash cost ratio </t>
  </si>
  <si>
    <t xml:space="preserve">Cashflow </t>
  </si>
  <si>
    <t>Quarterly Cashflow</t>
  </si>
  <si>
    <t>Cashflow  - Quarterly Cashflow</t>
  </si>
  <si>
    <t>Net profit</t>
  </si>
  <si>
    <t>Non cash costs</t>
  </si>
  <si>
    <t>PPE</t>
  </si>
  <si>
    <t xml:space="preserve">Operating cashflow </t>
  </si>
  <si>
    <t xml:space="preserve">Investment cashflow </t>
  </si>
  <si>
    <t xml:space="preserve">Finance cashflow </t>
  </si>
  <si>
    <t xml:space="preserve">Free cashflow </t>
  </si>
  <si>
    <t>Cash paid (raised)</t>
  </si>
  <si>
    <t>Balance sheet</t>
  </si>
  <si>
    <t>Assets</t>
  </si>
  <si>
    <t>Balance sheet - Assets</t>
  </si>
  <si>
    <t>Cash</t>
  </si>
  <si>
    <t>ST assets</t>
  </si>
  <si>
    <t>Other assets</t>
  </si>
  <si>
    <t xml:space="preserve">Depreciation </t>
  </si>
  <si>
    <t xml:space="preserve">Liabilities </t>
  </si>
  <si>
    <t xml:space="preserve">Equity </t>
  </si>
  <si>
    <t xml:space="preserve">Check </t>
  </si>
  <si>
    <t xml:space="preserve">Net cash </t>
  </si>
  <si>
    <t>Share price</t>
  </si>
  <si>
    <t>MCD</t>
  </si>
  <si>
    <t>Share price - MCD</t>
  </si>
  <si>
    <t>Volume (mn)</t>
  </si>
  <si>
    <t>Share Price</t>
  </si>
  <si>
    <t>Target</t>
  </si>
  <si>
    <t>Model</t>
  </si>
  <si>
    <t>Financial model</t>
  </si>
  <si>
    <t>Model - Financial model</t>
  </si>
  <si>
    <t>1Q 2021</t>
  </si>
  <si>
    <t>2Q 2021</t>
  </si>
  <si>
    <t>3Q 2021</t>
  </si>
  <si>
    <t>4Q 2021</t>
  </si>
  <si>
    <t>Growth</t>
  </si>
  <si>
    <t>Cash costs</t>
  </si>
  <si>
    <t>Equity</t>
  </si>
  <si>
    <t xml:space="preserve">Cashflow before revolver </t>
  </si>
  <si>
    <t xml:space="preserve">Revolver </t>
  </si>
  <si>
    <t>Beginning cash</t>
  </si>
  <si>
    <t>Change</t>
  </si>
  <si>
    <t>Ending cash</t>
  </si>
  <si>
    <t xml:space="preserve">Profit </t>
  </si>
  <si>
    <t xml:space="preserve">Non cash </t>
  </si>
  <si>
    <t xml:space="preserve">Net profit </t>
  </si>
  <si>
    <t>Net other assets</t>
  </si>
  <si>
    <t xml:space="preserve">Valuation </t>
  </si>
  <si>
    <t>Valuation</t>
  </si>
  <si>
    <t>Valuation  - Valuation</t>
  </si>
  <si>
    <t>Value</t>
  </si>
  <si>
    <t xml:space="preserve">Adjustment </t>
  </si>
  <si>
    <t xml:space="preserve">Adjusted </t>
  </si>
  <si>
    <t>Shares</t>
  </si>
  <si>
    <t xml:space="preserve">Target price </t>
  </si>
  <si>
    <t>Current value</t>
  </si>
  <si>
    <t xml:space="preserve"> P/capital paid</t>
  </si>
  <si>
    <t>P/sales</t>
  </si>
  <si>
    <t>P/assets</t>
  </si>
  <si>
    <t>P/equity</t>
  </si>
  <si>
    <t xml:space="preserve">Profitability </t>
  </si>
  <si>
    <t xml:space="preserve">Profit growth </t>
  </si>
  <si>
    <t>Yield</t>
  </si>
</sst>
</file>

<file path=xl/styles.xml><?xml version="1.0" encoding="utf-8"?>
<styleSheet xmlns="http://schemas.openxmlformats.org/spreadsheetml/2006/main">
  <numFmts count="8">
    <numFmt numFmtId="0" formatCode="General"/>
    <numFmt numFmtId="59" formatCode="#,##0%_);[Red]\(#,##0%\)"/>
    <numFmt numFmtId="60" formatCode="#,##0%"/>
    <numFmt numFmtId="61" formatCode="0%_);[Red]\(0%\)"/>
    <numFmt numFmtId="62" formatCode="mmmm"/>
    <numFmt numFmtId="63" formatCode="0.0%"/>
    <numFmt numFmtId="64" formatCode="0.0"/>
    <numFmt numFmtId="65" formatCode="#,##0.0%_);[Red]\(#,##0.0%\)"/>
  </numFmts>
  <fonts count="8">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0"/>
      <color indexed="8"/>
      <name val="Calibri"/>
    </font>
    <font>
      <sz val="10"/>
      <color indexed="8"/>
      <name val="Arial"/>
    </font>
    <font>
      <sz val="12"/>
      <color indexed="20"/>
      <name val="Helvetica Neue"/>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65">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horizontal="right" vertical="top" wrapText="1"/>
    </xf>
    <xf numFmtId="0" fontId="4" fillId="4" borderId="1" applyNumberFormat="0" applyFont="1" applyFill="1" applyBorder="1" applyAlignment="1" applyProtection="0">
      <alignment horizontal="right" vertical="top" wrapText="1"/>
    </xf>
    <xf numFmtId="0" fontId="4" fillId="5" borderId="2" applyNumberFormat="1" applyFont="1" applyFill="1" applyBorder="1" applyAlignment="1" applyProtection="0">
      <alignment vertical="top" wrapText="1"/>
    </xf>
    <xf numFmtId="3" fontId="0" borderId="3" applyNumberFormat="1" applyFont="1" applyFill="0" applyBorder="1" applyAlignment="1" applyProtection="0">
      <alignment horizontal="right" vertical="top" wrapText="1"/>
    </xf>
    <xf numFmtId="3" fontId="5" borderId="4" applyNumberFormat="1" applyFont="1" applyFill="0" applyBorder="1" applyAlignment="1" applyProtection="0">
      <alignment horizontal="right" vertical="top" wrapText="1"/>
    </xf>
    <xf numFmtId="59" fontId="5" borderId="4" applyNumberFormat="1" applyFont="1" applyFill="0" applyBorder="1" applyAlignment="1" applyProtection="0">
      <alignment horizontal="right" vertical="top" wrapText="1"/>
    </xf>
    <xf numFmtId="0" fontId="4" fillId="5" borderId="5" applyNumberFormat="0" applyFont="1" applyFill="1" applyBorder="1" applyAlignment="1" applyProtection="0">
      <alignment vertical="top" wrapText="1"/>
    </xf>
    <xf numFmtId="3" fontId="0" borderId="6" applyNumberFormat="1" applyFont="1" applyFill="0" applyBorder="1" applyAlignment="1" applyProtection="0">
      <alignment horizontal="right" vertical="top" wrapText="1"/>
    </xf>
    <xf numFmtId="3" fontId="5" borderId="7" applyNumberFormat="1" applyFont="1" applyFill="0" applyBorder="1" applyAlignment="1" applyProtection="0">
      <alignment horizontal="right" vertical="top" wrapText="1"/>
    </xf>
    <xf numFmtId="59" fontId="5" borderId="7" applyNumberFormat="1" applyFont="1" applyFill="0" applyBorder="1" applyAlignment="1" applyProtection="0">
      <alignment horizontal="right" vertical="top" wrapText="1"/>
    </xf>
    <xf numFmtId="0" fontId="4" fillId="5" borderId="5" applyNumberFormat="1" applyFont="1" applyFill="1" applyBorder="1" applyAlignment="1" applyProtection="0">
      <alignment vertical="top" wrapText="1"/>
    </xf>
    <xf numFmtId="60" fontId="5" borderId="7" applyNumberFormat="1" applyFont="1" applyFill="0" applyBorder="1" applyAlignment="1" applyProtection="0">
      <alignment horizontal="right" vertical="top" wrapText="1"/>
    </xf>
    <xf numFmtId="0" fontId="0" borderId="7" applyNumberFormat="0" applyFont="1" applyFill="0" applyBorder="1" applyAlignment="1" applyProtection="0">
      <alignment vertical="top" wrapText="1"/>
    </xf>
    <xf numFmtId="3" fontId="0" borderId="7" applyNumberFormat="1" applyFont="1" applyFill="0" applyBorder="1" applyAlignment="1" applyProtection="0">
      <alignment vertical="top" wrapText="1"/>
    </xf>
    <xf numFmtId="3" fontId="0" borderId="6" applyNumberFormat="1" applyFont="1" applyFill="0" applyBorder="1" applyAlignment="1" applyProtection="0">
      <alignment vertical="top" wrapText="1"/>
    </xf>
    <xf numFmtId="59" fontId="0" borderId="7" applyNumberFormat="1" applyFont="1" applyFill="0" applyBorder="1" applyAlignment="1" applyProtection="0">
      <alignment vertical="top" wrapText="1"/>
    </xf>
    <xf numFmtId="0" fontId="0" borderId="6" applyNumberFormat="0" applyFont="1" applyFill="0" applyBorder="1" applyAlignment="1" applyProtection="0">
      <alignment vertical="top" wrapText="1"/>
    </xf>
    <xf numFmtId="61" fontId="0" borderId="7" applyNumberFormat="1" applyFont="1" applyFill="0" applyBorder="1" applyAlignment="1" applyProtection="0">
      <alignment vertical="top" wrapText="1"/>
    </xf>
    <xf numFmtId="38" fontId="0" borderId="7"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38" fontId="0" borderId="3" applyNumberFormat="1" applyFont="1" applyFill="0" applyBorder="1" applyAlignment="1" applyProtection="0">
      <alignment vertical="top" wrapText="1"/>
    </xf>
    <xf numFmtId="38" fontId="0" borderId="4" applyNumberFormat="1" applyFont="1" applyFill="0" applyBorder="1" applyAlignment="1" applyProtection="0">
      <alignment vertical="top" wrapText="1"/>
    </xf>
    <xf numFmtId="38" fontId="0" borderId="6" applyNumberFormat="1" applyFont="1" applyFill="0" applyBorder="1" applyAlignment="1" applyProtection="0">
      <alignment vertical="top" wrapText="1"/>
    </xf>
    <xf numFmtId="0" fontId="0" applyNumberFormat="1" applyFont="1" applyFill="0" applyBorder="0" applyAlignment="1" applyProtection="0">
      <alignment vertical="top" wrapText="1"/>
    </xf>
    <xf numFmtId="38" fontId="0" borderId="3" applyNumberFormat="1" applyFont="1" applyFill="0" applyBorder="1" applyAlignment="1" applyProtection="0">
      <alignment horizontal="right" vertical="top" wrapText="1"/>
    </xf>
    <xf numFmtId="38" fontId="0" borderId="6" applyNumberFormat="1" applyFont="1" applyFill="0" applyBorder="1" applyAlignment="1" applyProtection="0">
      <alignment horizontal="right" vertical="top" wrapText="1"/>
    </xf>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vertical="top" wrapText="1"/>
    </xf>
    <xf numFmtId="49" fontId="4" fillId="4" borderId="1" applyNumberFormat="1" applyFont="1" applyFill="1" applyBorder="1" applyAlignment="1" applyProtection="0">
      <alignment vertical="top" wrapText="1"/>
    </xf>
    <xf numFmtId="1" fontId="6" borderId="3" applyNumberFormat="1" applyFont="1" applyFill="0" applyBorder="1" applyAlignment="1" applyProtection="0">
      <alignment horizontal="right" vertical="center" wrapText="1" readingOrder="1"/>
    </xf>
    <xf numFmtId="1" fontId="6" borderId="4" applyNumberFormat="1" applyFont="1" applyFill="0" applyBorder="1" applyAlignment="1" applyProtection="0">
      <alignment horizontal="right" vertical="center" wrapText="1" readingOrder="1"/>
    </xf>
    <xf numFmtId="3" fontId="0" borderId="4" applyNumberFormat="1" applyFont="1" applyFill="0" applyBorder="1" applyAlignment="1" applyProtection="0">
      <alignment vertical="top" wrapText="1"/>
    </xf>
    <xf numFmtId="1" fontId="6" borderId="6" applyNumberFormat="1" applyFont="1" applyFill="0" applyBorder="1" applyAlignment="1" applyProtection="0">
      <alignment horizontal="right" vertical="center" wrapText="1" readingOrder="1"/>
    </xf>
    <xf numFmtId="1" fontId="6" borderId="7" applyNumberFormat="1" applyFont="1" applyFill="0" applyBorder="1" applyAlignment="1" applyProtection="0">
      <alignment horizontal="right" vertical="center" wrapText="1" readingOrder="1"/>
    </xf>
    <xf numFmtId="1"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6" borderId="2" applyNumberFormat="1" applyFont="1" applyFill="1" applyBorder="1" applyAlignment="1" applyProtection="0">
      <alignment vertical="top" wrapText="1"/>
    </xf>
    <xf numFmtId="0" fontId="0" borderId="3" applyNumberFormat="0" applyFont="1" applyFill="0" applyBorder="1" applyAlignment="1" applyProtection="0">
      <alignment vertical="top" wrapText="1"/>
    </xf>
    <xf numFmtId="0" fontId="0" borderId="4" applyNumberFormat="0" applyFont="1" applyFill="0" applyBorder="1" applyAlignment="1" applyProtection="0">
      <alignment vertical="top" wrapText="1"/>
    </xf>
    <xf numFmtId="49" fontId="4" fillId="5" borderId="5" applyNumberFormat="1" applyFont="1" applyFill="1" applyBorder="1" applyAlignment="1" applyProtection="0">
      <alignment vertical="top" wrapText="1"/>
    </xf>
    <xf numFmtId="61" fontId="0" borderId="6" applyNumberFormat="1" applyFont="1" applyFill="0" applyBorder="1" applyAlignment="1" applyProtection="0">
      <alignment vertical="top" wrapText="1"/>
    </xf>
    <xf numFmtId="59" fontId="0" borderId="6" applyNumberFormat="1" applyFont="1" applyFill="0" applyBorder="1" applyAlignment="1" applyProtection="0">
      <alignment vertical="top" wrapText="1"/>
    </xf>
    <xf numFmtId="49" fontId="4" fillId="7" borderId="5" applyNumberFormat="1" applyFont="1" applyFill="1" applyBorder="1" applyAlignment="1" applyProtection="0">
      <alignment vertical="top" wrapText="1"/>
    </xf>
    <xf numFmtId="49" fontId="4" fillId="8" borderId="5"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62" fontId="4" fillId="4" borderId="1" applyNumberFormat="1" applyFont="1" applyFill="1" applyBorder="1" applyAlignment="1" applyProtection="0">
      <alignment vertical="top" wrapText="1"/>
    </xf>
    <xf numFmtId="49" fontId="4" fillId="5" borderId="2" applyNumberFormat="1" applyFont="1" applyFill="1" applyBorder="1" applyAlignment="1" applyProtection="0">
      <alignment vertical="top" wrapText="1"/>
    </xf>
    <xf numFmtId="63" fontId="0" borderId="6" applyNumberFormat="1" applyFont="1" applyFill="0" applyBorder="1" applyAlignment="1" applyProtection="0">
      <alignment vertical="top" wrapText="1"/>
    </xf>
    <xf numFmtId="63" fontId="0" borderId="7" applyNumberFormat="1" applyFont="1" applyFill="0" applyBorder="1" applyAlignment="1" applyProtection="0">
      <alignment vertical="top" wrapText="1"/>
    </xf>
    <xf numFmtId="64" fontId="0" borderId="6" applyNumberFormat="1" applyFont="1" applyFill="0" applyBorder="1" applyAlignment="1" applyProtection="0">
      <alignment vertical="top" wrapText="1"/>
    </xf>
    <xf numFmtId="64" fontId="0" borderId="7" applyNumberFormat="1" applyFont="1" applyFill="0" applyBorder="1" applyAlignment="1" applyProtection="0">
      <alignment vertical="top" wrapText="1"/>
    </xf>
    <xf numFmtId="4" fontId="0" borderId="7" applyNumberFormat="1" applyFont="1" applyFill="0" applyBorder="1" applyAlignment="1" applyProtection="0">
      <alignment vertical="top" wrapText="1"/>
    </xf>
    <xf numFmtId="40" fontId="0" borderId="7" applyNumberFormat="1" applyFont="1" applyFill="0" applyBorder="1" applyAlignment="1" applyProtection="0">
      <alignment vertical="top" wrapText="1"/>
    </xf>
    <xf numFmtId="65" fontId="0" borderId="7"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b1dd8b"/>
      <rgbColor rgb="fffefb41"/>
      <rgbColor rgb="ff52d6fc"/>
      <rgbColor rgb="ffb8b8b8"/>
      <rgbColor rgb="fffefffe"/>
      <rgbColor rgb="ff33b4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08259"/>
          <c:y val="0.0426778"/>
          <c:w val="0.858746"/>
          <c:h val="0.886395"/>
        </c:manualLayout>
      </c:layout>
      <c:lineChart>
        <c:grouping val="standard"/>
        <c:varyColors val="0"/>
        <c:ser>
          <c:idx val="0"/>
          <c:order val="0"/>
          <c:tx>
            <c:strRef>
              <c:f>'Sales - Quarterly sales'!$F$3</c:f>
              <c:strCache>
                <c:ptCount val="1"/>
                <c:pt idx="0">
                  <c:v>Cash cost ratio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'Sales - Quarterly sales'!$B$4:$B$28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strCache>
            </c:strRef>
          </c:cat>
          <c:val>
            <c:numRef>
              <c:f>'Sales - Quarterly sales'!$F$4:$F$28</c:f>
              <c:numCache>
                <c:ptCount val="24"/>
                <c:pt idx="0">
                  <c:v>-0.752807</c:v>
                </c:pt>
                <c:pt idx="1">
                  <c:v>-0.746941</c:v>
                </c:pt>
                <c:pt idx="2">
                  <c:v>-0.735000</c:v>
                </c:pt>
                <c:pt idx="3">
                  <c:v>-0.777430</c:v>
                </c:pt>
                <c:pt idx="4">
                  <c:v>-0.745609</c:v>
                </c:pt>
                <c:pt idx="5">
                  <c:v>-0.752291</c:v>
                </c:pt>
                <c:pt idx="6">
                  <c:v>-0.771610</c:v>
                </c:pt>
                <c:pt idx="7">
                  <c:v>-0.756234</c:v>
                </c:pt>
                <c:pt idx="8">
                  <c:v>-0.729382</c:v>
                </c:pt>
                <c:pt idx="9">
                  <c:v>-0.711639</c:v>
                </c:pt>
                <c:pt idx="10">
                  <c:v>-0.728947</c:v>
                </c:pt>
                <c:pt idx="11">
                  <c:v>-0.683270</c:v>
                </c:pt>
                <c:pt idx="12">
                  <c:v>-0.658993</c:v>
                </c:pt>
                <c:pt idx="13">
                  <c:v>-0.654663</c:v>
                </c:pt>
                <c:pt idx="14">
                  <c:v>-0.622528</c:v>
                </c:pt>
                <c:pt idx="15">
                  <c:v>-0.649177</c:v>
                </c:pt>
                <c:pt idx="16">
                  <c:v>-0.630103</c:v>
                </c:pt>
                <c:pt idx="17">
                  <c:v>-0.627158</c:v>
                </c:pt>
                <c:pt idx="18">
                  <c:v>-0.619711</c:v>
                </c:pt>
                <c:pt idx="19">
                  <c:v>-0.647972</c:v>
                </c:pt>
                <c:pt idx="20">
                  <c:v>-0.630367</c:v>
                </c:pt>
                <c:pt idx="21">
                  <c:v>-0.729523</c:v>
                </c:pt>
                <c:pt idx="22">
                  <c:v>-0.609450</c:v>
                </c:pt>
                <c:pt idx="23">
                  <c:v>-0.698532</c:v>
                </c:pt>
              </c:numCache>
            </c:numRef>
          </c:val>
          <c:smooth val="0"/>
        </c:ser>
        <c:ser>
          <c:idx val="1"/>
          <c:order val="1"/>
          <c:tx>
            <c:strRef>
              <c:f>'Sales - Quarterly sales'!$G$3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'Sales - Quarterly sales'!$B$4:$B$28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strCache>
            </c:strRef>
          </c:cat>
          <c:val>
            <c:numRef>
              <c:f>'Sales - Quarterly sales'!$G$4:$G$28</c:f>
              <c:numCache>
                <c:ptCount val="2"/>
                <c:pt idx="23">
                  <c:v>-0.698532</c:v>
                </c:pt>
                <c:pt idx="24">
                  <c:v>-0.653991</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ax val="-0.5"/>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0.075"/>
        <c:minorUnit val="0.0375"/>
      </c:valAx>
      <c:spPr>
        <a:noFill/>
        <a:ln w="12700" cap="flat">
          <a:noFill/>
          <a:miter lim="400000"/>
        </a:ln>
        <a:effectLst/>
      </c:spPr>
    </c:plotArea>
    <c:legend>
      <c:legendPos val="r"/>
      <c:layout>
        <c:manualLayout>
          <c:xMode val="edge"/>
          <c:yMode val="edge"/>
          <c:x val="0.344711"/>
          <c:y val="0.119034"/>
          <c:w val="0.385841"/>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07411"/>
          <c:y val="0.0426778"/>
          <c:w val="0.885593"/>
          <c:h val="0.886395"/>
        </c:manualLayout>
      </c:layout>
      <c:lineChart>
        <c:grouping val="standard"/>
        <c:varyColors val="0"/>
        <c:ser>
          <c:idx val="0"/>
          <c:order val="0"/>
          <c:tx>
            <c:strRef>
              <c:f>'Cashflow  - Quarterly Cashflow'!$I$3</c:f>
              <c:strCache>
                <c:ptCount val="1"/>
                <c:pt idx="0">
                  <c:v>Free cashflow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'Cashflow  - Quarterly Cashflow'!$B$4:$B$28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'Cashflow  - Quarterly Cashflow'!$I$4:$I$28</c:f>
              <c:numCache>
                <c:ptCount val="24"/>
                <c:pt idx="0">
                  <c:v>1306.500000</c:v>
                </c:pt>
                <c:pt idx="1">
                  <c:v>1097.500000</c:v>
                </c:pt>
                <c:pt idx="2">
                  <c:v>1534.400000</c:v>
                </c:pt>
                <c:pt idx="3">
                  <c:v>786.700000</c:v>
                </c:pt>
                <c:pt idx="4">
                  <c:v>1327.100000</c:v>
                </c:pt>
                <c:pt idx="5">
                  <c:v>895.400000</c:v>
                </c:pt>
                <c:pt idx="6">
                  <c:v>1846.100000</c:v>
                </c:pt>
                <c:pt idx="7">
                  <c:v>170.000000</c:v>
                </c:pt>
                <c:pt idx="8">
                  <c:v>1116.000000</c:v>
                </c:pt>
                <c:pt idx="9">
                  <c:v>844.400000</c:v>
                </c:pt>
                <c:pt idx="10">
                  <c:v>1277.500000</c:v>
                </c:pt>
                <c:pt idx="11">
                  <c:v>459.300000</c:v>
                </c:pt>
                <c:pt idx="12">
                  <c:v>1092.200000</c:v>
                </c:pt>
                <c:pt idx="13">
                  <c:v>727.800000</c:v>
                </c:pt>
                <c:pt idx="14">
                  <c:v>1767.100000</c:v>
                </c:pt>
                <c:pt idx="15">
                  <c:v>637.600000</c:v>
                </c:pt>
                <c:pt idx="16">
                  <c:v>1505.600000</c:v>
                </c:pt>
                <c:pt idx="17">
                  <c:v>1327.500000</c:v>
                </c:pt>
                <c:pt idx="18">
                  <c:v>1741.700000</c:v>
                </c:pt>
                <c:pt idx="19">
                  <c:v>1153.300000</c:v>
                </c:pt>
                <c:pt idx="20">
                  <c:v>1063.000000</c:v>
                </c:pt>
                <c:pt idx="21">
                  <c:v>-518.100000</c:v>
                </c:pt>
                <c:pt idx="22">
                  <c:v>2550.000000</c:v>
                </c:pt>
                <c:pt idx="23">
                  <c:v>1529.100000</c:v>
                </c:pt>
              </c:numCache>
            </c:numRef>
          </c:val>
          <c:smooth val="0"/>
        </c:ser>
        <c:ser>
          <c:idx val="1"/>
          <c:order val="1"/>
          <c:tx>
            <c:strRef>
              <c:f>'Cashflow  - Quarterly Cashflow'!$J$3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'Cashflow  - Quarterly Cashflow'!$B$4:$B$28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'Cashflow  - Quarterly Cashflow'!$J$4:$J$28</c:f>
              <c:numCache>
                <c:ptCount val="2"/>
                <c:pt idx="23">
                  <c:v>1156.000000</c:v>
                </c:pt>
                <c:pt idx="24">
                  <c:v>1569.419918</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937.5"/>
        <c:minorUnit val="468.75"/>
      </c:valAx>
      <c:spPr>
        <a:noFill/>
        <a:ln w="12700" cap="flat">
          <a:noFill/>
          <a:miter lim="400000"/>
        </a:ln>
        <a:effectLst/>
      </c:spPr>
    </c:plotArea>
    <c:legend>
      <c:legendPos val="r"/>
      <c:layout>
        <c:manualLayout>
          <c:xMode val="edge"/>
          <c:yMode val="edge"/>
          <c:x val="0.573362"/>
          <c:y val="0.0749773"/>
          <c:w val="0.364493"/>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07691"/>
          <c:y val="0.0426778"/>
          <c:w val="0.885295"/>
          <c:h val="0.886395"/>
        </c:manualLayout>
      </c:layout>
      <c:lineChart>
        <c:grouping val="standard"/>
        <c:varyColors val="0"/>
        <c:ser>
          <c:idx val="0"/>
          <c:order val="0"/>
          <c:tx>
            <c:strRef>
              <c:f>'Sales - Quarterly sales'!$C$3</c:f>
              <c:strCache>
                <c:ptCount val="1"/>
                <c:pt idx="0">
                  <c:v>Total sales</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trendline>
            <c:spPr>
              <a:noFill/>
              <a:ln w="25400" cap="flat">
                <a:solidFill>
                  <a:srgbClr val="33B4FF"/>
                </a:solidFill>
                <a:prstDash val="solid"/>
                <a:miter lim="400000"/>
              </a:ln>
              <a:effectLst>
                <a:outerShdw sx="100000" sy="100000" kx="0" ky="0" algn="tl" rotWithShape="1" blurRad="12700" dist="25400" dir="7320000">
                  <a:srgbClr val="000000">
                    <a:alpha val="25000"/>
                  </a:srgbClr>
                </a:outerShdw>
              </a:effectLst>
            </c:spPr>
            <c:trendlineType val="poly"/>
            <c:order val="2"/>
            <c:forward val="0"/>
            <c:backward val="0"/>
            <c:dispRSqr val="0"/>
            <c:dispEq val="0"/>
          </c:trendline>
          <c:cat>
            <c:strRef>
              <c:f>'Sales - Quarterly sales'!$B$4:$B$31</c:f>
              <c:strCache>
                <c:ptCount val="28"/>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pt idx="25">
                  <c:v/>
                </c:pt>
                <c:pt idx="26">
                  <c:v/>
                </c:pt>
                <c:pt idx="27">
                  <c:v/>
                </c:pt>
              </c:strCache>
            </c:strRef>
          </c:cat>
          <c:val>
            <c:numRef>
              <c:f>'Sales - Quarterly sales'!$C$4:$C$31</c:f>
              <c:numCache>
                <c:ptCount val="24"/>
                <c:pt idx="0">
                  <c:v>5958.900000</c:v>
                </c:pt>
                <c:pt idx="1">
                  <c:v>6497.700000</c:v>
                </c:pt>
                <c:pt idx="2">
                  <c:v>6615.100000</c:v>
                </c:pt>
                <c:pt idx="3">
                  <c:v>6743.500000</c:v>
                </c:pt>
                <c:pt idx="4">
                  <c:v>5903.900000</c:v>
                </c:pt>
                <c:pt idx="5">
                  <c:v>6265.000000</c:v>
                </c:pt>
                <c:pt idx="6">
                  <c:v>6424.100000</c:v>
                </c:pt>
                <c:pt idx="7">
                  <c:v>5626.700000</c:v>
                </c:pt>
                <c:pt idx="8">
                  <c:v>5675.900000</c:v>
                </c:pt>
                <c:pt idx="9">
                  <c:v>6049.700000</c:v>
                </c:pt>
                <c:pt idx="10">
                  <c:v>5754.600000</c:v>
                </c:pt>
                <c:pt idx="11">
                  <c:v>5340.200000</c:v>
                </c:pt>
                <c:pt idx="12">
                  <c:v>5138.900000</c:v>
                </c:pt>
                <c:pt idx="13">
                  <c:v>5353.900000</c:v>
                </c:pt>
                <c:pt idx="14">
                  <c:v>5369.400000</c:v>
                </c:pt>
                <c:pt idx="15">
                  <c:v>5163.000000</c:v>
                </c:pt>
                <c:pt idx="16">
                  <c:v>5024.100000</c:v>
                </c:pt>
                <c:pt idx="17">
                  <c:v>5409.800000</c:v>
                </c:pt>
                <c:pt idx="18">
                  <c:v>5430.600000</c:v>
                </c:pt>
                <c:pt idx="19">
                  <c:v>5349.000000</c:v>
                </c:pt>
                <c:pt idx="20">
                  <c:v>4714.400000</c:v>
                </c:pt>
                <c:pt idx="21">
                  <c:v>3761.500000</c:v>
                </c:pt>
                <c:pt idx="22">
                  <c:v>5418.000000</c:v>
                </c:pt>
                <c:pt idx="23">
                  <c:v>5314.000000</c:v>
                </c:pt>
              </c:numCache>
            </c:numRef>
          </c:val>
          <c:smooth val="0"/>
        </c:ser>
        <c:ser>
          <c:idx val="1"/>
          <c:order val="1"/>
          <c:tx>
            <c:strRef>
              <c:f>'Sales - Quarterly sales'!$D$3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'Sales - Quarterly sales'!$B$4:$B$31</c:f>
              <c:strCache>
                <c:ptCount val="28"/>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2021</c:v>
                </c:pt>
                <c:pt idx="25">
                  <c:v/>
                </c:pt>
                <c:pt idx="26">
                  <c:v/>
                </c:pt>
                <c:pt idx="27">
                  <c:v/>
                </c:pt>
              </c:strCache>
            </c:strRef>
          </c:cat>
          <c:val>
            <c:numRef>
              <c:f>'Sales - Quarterly sales'!$D$4:$D$31</c:f>
              <c:numCache>
                <c:ptCount val="6"/>
                <c:pt idx="22">
                  <c:v>3949.575000</c:v>
                </c:pt>
                <c:pt idx="23">
                  <c:v>5418.000000</c:v>
                </c:pt>
                <c:pt idx="24">
                  <c:v>5418.000000</c:v>
                </c:pt>
                <c:pt idx="25">
                  <c:v>5688.900000</c:v>
                </c:pt>
                <c:pt idx="26">
                  <c:v>5745.789000</c:v>
                </c:pt>
                <c:pt idx="27">
                  <c:v>6033.078450</c:v>
                </c:pt>
              </c:numCache>
            </c:numRef>
          </c:val>
          <c:smooth val="0"/>
        </c:ser>
        <c:marker val="1"/>
        <c:axId val="2094734552"/>
        <c:axId val="2094734553"/>
      </c:lineChart>
      <c:catAx>
        <c:axId val="2094734552"/>
        <c:scaling>
          <c:orientation val="minMax"/>
        </c:scaling>
        <c:delete val="0"/>
        <c:axPos val="b"/>
        <c:numFmt formatCode="#,##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in val="3000"/>
        </c:scaling>
        <c:delete val="0"/>
        <c:axPos val="l"/>
        <c:majorGridlines>
          <c:spPr>
            <a:ln w="6350" cap="flat">
              <a:solidFill>
                <a:srgbClr val="B8B8B8"/>
              </a:solidFill>
              <a:prstDash val="solid"/>
              <a:miter lim="400000"/>
            </a:ln>
          </c:spPr>
        </c:majorGridlines>
        <c:numFmt formatCode="#,##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000"/>
        <c:minorUnit val="500"/>
      </c:valAx>
      <c:spPr>
        <a:noFill/>
        <a:ln w="12700" cap="flat">
          <a:noFill/>
          <a:miter lim="400000"/>
        </a:ln>
        <a:effectLst/>
      </c:spPr>
    </c:plotArea>
    <c:legend>
      <c:legendPos val="r"/>
      <c:layout>
        <c:manualLayout>
          <c:xMode val="edge"/>
          <c:yMode val="edge"/>
          <c:x val="0.448995"/>
          <c:y val="0.111159"/>
          <c:w val="0.241249"/>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633"/>
          <c:y val="0.0426778"/>
          <c:w val="0.856794"/>
          <c:h val="0.886395"/>
        </c:manualLayout>
      </c:layout>
      <c:lineChart>
        <c:grouping val="standard"/>
        <c:varyColors val="0"/>
        <c:ser>
          <c:idx val="0"/>
          <c:order val="0"/>
          <c:tx>
            <c:strRef>
              <c:f>'Balance sheet - Assets'!$J$3</c:f>
              <c:strCache>
                <c:ptCount val="1"/>
                <c:pt idx="0">
                  <c:v>Net cash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'Balance sheet - Assets'!$B$4:$B$28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'Balance sheet - Assets'!$J$4:$J$28</c:f>
              <c:numCache>
                <c:ptCount val="24"/>
                <c:pt idx="0">
                  <c:v>-19117.500000</c:v>
                </c:pt>
                <c:pt idx="1">
                  <c:v>-20388.500000</c:v>
                </c:pt>
                <c:pt idx="2">
                  <c:v>-22197.200000</c:v>
                </c:pt>
                <c:pt idx="3">
                  <c:v>-23165.300000</c:v>
                </c:pt>
                <c:pt idx="4">
                  <c:v>-26622.300000</c:v>
                </c:pt>
                <c:pt idx="5">
                  <c:v>-29378.500000</c:v>
                </c:pt>
                <c:pt idx="6">
                  <c:v>-31844.300000</c:v>
                </c:pt>
                <c:pt idx="7">
                  <c:v>-32004.800000</c:v>
                </c:pt>
                <c:pt idx="8">
                  <c:v>-31738.900000</c:v>
                </c:pt>
                <c:pt idx="9">
                  <c:v>-32393.400000</c:v>
                </c:pt>
                <c:pt idx="10">
                  <c:v>-33366.000000</c:v>
                </c:pt>
                <c:pt idx="11">
                  <c:v>-34607.900000</c:v>
                </c:pt>
                <c:pt idx="12">
                  <c:v>-35973.700000</c:v>
                </c:pt>
                <c:pt idx="13">
                  <c:v>-36935.900000</c:v>
                </c:pt>
                <c:pt idx="14">
                  <c:v>-38271.800000</c:v>
                </c:pt>
                <c:pt idx="15">
                  <c:v>-38203.600000</c:v>
                </c:pt>
                <c:pt idx="16">
                  <c:v>-50728.400000</c:v>
                </c:pt>
                <c:pt idx="17">
                  <c:v>-51874.100000</c:v>
                </c:pt>
                <c:pt idx="18">
                  <c:v>-53226.900000</c:v>
                </c:pt>
                <c:pt idx="19">
                  <c:v>-54822.600000</c:v>
                </c:pt>
                <c:pt idx="20">
                  <c:v>-54481.600000</c:v>
                </c:pt>
                <c:pt idx="21">
                  <c:v>-56146.300000</c:v>
                </c:pt>
                <c:pt idx="22">
                  <c:v>-55487.000000</c:v>
                </c:pt>
                <c:pt idx="23">
                  <c:v>-57003.000000</c:v>
                </c:pt>
              </c:numCache>
            </c:numRef>
          </c:val>
          <c:smooth val="0"/>
        </c:ser>
        <c:ser>
          <c:idx val="1"/>
          <c:order val="1"/>
          <c:tx>
            <c:strRef>
              <c:f>'Balance sheet - Assets'!$K$3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'Balance sheet - Assets'!$B$4:$B$28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'Balance sheet - Assets'!$K$4:$K$28</c:f>
              <c:numCache>
                <c:ptCount val="2"/>
                <c:pt idx="23">
                  <c:v>-57003.000000</c:v>
                </c:pt>
                <c:pt idx="24">
                  <c:v>-52831.284230</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5000"/>
        <c:minorUnit val="7500"/>
      </c:valAx>
      <c:spPr>
        <a:noFill/>
        <a:ln w="12700" cap="flat">
          <a:noFill/>
          <a:miter lim="400000"/>
        </a:ln>
        <a:effectLst/>
      </c:spPr>
    </c:plotArea>
    <c:legend>
      <c:legendPos val="r"/>
      <c:layout>
        <c:manualLayout>
          <c:xMode val="edge"/>
          <c:yMode val="edge"/>
          <c:x val="0.495446"/>
          <c:y val="0.0828519"/>
          <c:w val="0.203414"/>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6804"/>
          <c:y val="0.0420161"/>
          <c:w val="0.858196"/>
          <c:h val="0.887963"/>
        </c:manualLayout>
      </c:layout>
      <c:barChart>
        <c:barDir val="col"/>
        <c:grouping val="clustered"/>
        <c:varyColors val="0"/>
        <c:ser>
          <c:idx val="0"/>
          <c:order val="0"/>
          <c:tx>
            <c:strRef>
              <c:f>'Cashflow  - Quarterly Cashflow'!$K$3</c:f>
              <c:strCache>
                <c:ptCount val="1"/>
                <c:pt idx="0">
                  <c:v>Cash paid (raised)</c:v>
                </c:pt>
              </c:strCache>
            </c:strRef>
          </c:tx>
          <c:spPr>
            <a:solidFill>
              <a:schemeClr val="accent1"/>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0"/>
            <c:showCatName val="0"/>
            <c:showSerName val="0"/>
            <c:showPercent val="0"/>
            <c:showBubbleSize val="0"/>
            <c:showLeaderLines val="0"/>
          </c:dLbls>
          <c:cat>
            <c:strRef>
              <c:f>'Cashflow  - Quarterly Cashflow'!$B$4:$B$28</c:f>
              <c:strCache>
                <c:ptCount val="25"/>
                <c:pt idx="0">
                  <c:v>2015</c:v>
                </c:pt>
                <c:pt idx="1">
                  <c:v/>
                </c:pt>
                <c:pt idx="2">
                  <c:v/>
                </c:pt>
                <c:pt idx="3">
                  <c:v/>
                </c:pt>
                <c:pt idx="4">
                  <c:v>2016</c:v>
                </c:pt>
                <c:pt idx="5">
                  <c:v/>
                </c:pt>
                <c:pt idx="6">
                  <c:v/>
                </c:pt>
                <c:pt idx="7">
                  <c:v/>
                </c:pt>
                <c:pt idx="8">
                  <c:v>2017</c:v>
                </c:pt>
                <c:pt idx="9">
                  <c:v/>
                </c:pt>
                <c:pt idx="10">
                  <c:v/>
                </c:pt>
                <c:pt idx="11">
                  <c:v/>
                </c:pt>
                <c:pt idx="12">
                  <c:v>2018</c:v>
                </c:pt>
                <c:pt idx="13">
                  <c:v/>
                </c:pt>
                <c:pt idx="14">
                  <c:v/>
                </c:pt>
                <c:pt idx="15">
                  <c:v/>
                </c:pt>
                <c:pt idx="16">
                  <c:v>2019</c:v>
                </c:pt>
                <c:pt idx="17">
                  <c:v/>
                </c:pt>
                <c:pt idx="18">
                  <c:v/>
                </c:pt>
                <c:pt idx="19">
                  <c:v/>
                </c:pt>
                <c:pt idx="20">
                  <c:v>2020</c:v>
                </c:pt>
                <c:pt idx="21">
                  <c:v/>
                </c:pt>
                <c:pt idx="22">
                  <c:v/>
                </c:pt>
                <c:pt idx="23">
                  <c:v/>
                </c:pt>
                <c:pt idx="24">
                  <c:v/>
                </c:pt>
              </c:strCache>
            </c:strRef>
          </c:cat>
          <c:val>
            <c:numRef>
              <c:f>'Cashflow  - Quarterly Cashflow'!$K$4:$K$28</c:f>
              <c:numCache>
                <c:ptCount val="25"/>
                <c:pt idx="0">
                  <c:v>1593.300000</c:v>
                </c:pt>
                <c:pt idx="1">
                  <c:v>505.700000</c:v>
                </c:pt>
                <c:pt idx="2">
                  <c:v>3484.300000</c:v>
                </c:pt>
                <c:pt idx="3">
                  <c:v>-735.300000</c:v>
                </c:pt>
                <c:pt idx="4">
                  <c:v>5217.300000</c:v>
                </c:pt>
                <c:pt idx="5">
                  <c:v>6354.100000</c:v>
                </c:pt>
                <c:pt idx="6">
                  <c:v>9129.800000</c:v>
                </c:pt>
                <c:pt idx="7">
                  <c:v>10527.100000</c:v>
                </c:pt>
                <c:pt idx="8">
                  <c:v>11114.300000</c:v>
                </c:pt>
                <c:pt idx="9">
                  <c:v>12280.800000</c:v>
                </c:pt>
                <c:pt idx="10">
                  <c:v>15090.800000</c:v>
                </c:pt>
                <c:pt idx="11">
                  <c:v>15837.900000</c:v>
                </c:pt>
                <c:pt idx="12">
                  <c:v>17144.100000</c:v>
                </c:pt>
                <c:pt idx="13">
                  <c:v>18708.300000</c:v>
                </c:pt>
                <c:pt idx="14">
                  <c:v>19476.300000</c:v>
                </c:pt>
                <c:pt idx="15">
                  <c:v>21787.500000</c:v>
                </c:pt>
                <c:pt idx="16">
                  <c:v>21566.800000</c:v>
                </c:pt>
                <c:pt idx="17">
                  <c:v>23762.900000</c:v>
                </c:pt>
                <c:pt idx="18">
                  <c:v>25340.500000</c:v>
                </c:pt>
                <c:pt idx="19">
                  <c:v>26782.300000</c:v>
                </c:pt>
                <c:pt idx="20">
                  <c:v>23249.300000</c:v>
                </c:pt>
                <c:pt idx="21">
                  <c:v>24827.200000</c:v>
                </c:pt>
                <c:pt idx="22">
                  <c:v>27096.200000</c:v>
                </c:pt>
                <c:pt idx="23">
                  <c:v>29031.300000</c:v>
                </c:pt>
                <c:pt idx="24">
                  <c:v>35308.979671</c:v>
                </c:pt>
              </c:numCache>
            </c:numRef>
          </c:val>
        </c:ser>
        <c:gapWidth val="40"/>
        <c:overlap val="-10"/>
        <c:axId val="2094734552"/>
        <c:axId val="2094734553"/>
      </c:bar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12500"/>
        <c:minorUnit val="6250"/>
      </c:valAx>
      <c:spPr>
        <a:noFill/>
        <a:ln w="12700" cap="flat">
          <a:noFill/>
          <a:miter lim="400000"/>
        </a:ln>
        <a:effectLst/>
      </c:spPr>
    </c:plotArea>
    <c:legend>
      <c:legendPos val="r"/>
      <c:layout>
        <c:manualLayout>
          <c:xMode val="edge"/>
          <c:yMode val="edge"/>
          <c:x val="0.293197"/>
          <c:y val="0.119623"/>
          <c:w val="0.313368"/>
          <c:h val="0.0670161"/>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838286"/>
          <c:y val="0.0426778"/>
          <c:w val="0.894249"/>
          <c:h val="0.886395"/>
        </c:manualLayout>
      </c:layout>
      <c:lineChart>
        <c:grouping val="standard"/>
        <c:varyColors val="0"/>
        <c:ser>
          <c:idx val="0"/>
          <c:order val="0"/>
          <c:tx>
            <c:strRef>
              <c:f>'Share price - MCD'!$C$2</c:f>
              <c:strCache>
                <c:ptCount val="1"/>
                <c:pt idx="0">
                  <c:v>Share Price</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'Share price - MCD'!$A$15:$A$88</c:f>
              <c:strCache>
                <c:ptCount val="74"/>
                <c:pt idx="0">
                  <c:v>2015</c:v>
                </c:pt>
                <c:pt idx="1">
                  <c:v/>
                </c:pt>
                <c:pt idx="2">
                  <c:v/>
                </c:pt>
                <c:pt idx="3">
                  <c:v/>
                </c:pt>
                <c:pt idx="4">
                  <c:v/>
                </c:pt>
                <c:pt idx="5">
                  <c:v/>
                </c:pt>
                <c:pt idx="6">
                  <c:v/>
                </c:pt>
                <c:pt idx="7">
                  <c:v/>
                </c:pt>
                <c:pt idx="8">
                  <c:v/>
                </c:pt>
                <c:pt idx="9">
                  <c:v/>
                </c:pt>
                <c:pt idx="10">
                  <c:v/>
                </c:pt>
                <c:pt idx="11">
                  <c:v/>
                </c:pt>
                <c:pt idx="12">
                  <c:v>2016</c:v>
                </c:pt>
                <c:pt idx="13">
                  <c:v/>
                </c:pt>
                <c:pt idx="14">
                  <c:v/>
                </c:pt>
                <c:pt idx="15">
                  <c:v/>
                </c:pt>
                <c:pt idx="16">
                  <c:v/>
                </c:pt>
                <c:pt idx="17">
                  <c:v/>
                </c:pt>
                <c:pt idx="18">
                  <c:v/>
                </c:pt>
                <c:pt idx="19">
                  <c:v/>
                </c:pt>
                <c:pt idx="20">
                  <c:v/>
                </c:pt>
                <c:pt idx="21">
                  <c:v/>
                </c:pt>
                <c:pt idx="22">
                  <c:v/>
                </c:pt>
                <c:pt idx="23">
                  <c:v/>
                </c:pt>
                <c:pt idx="24">
                  <c:v>2017</c:v>
                </c:pt>
                <c:pt idx="25">
                  <c:v/>
                </c:pt>
                <c:pt idx="26">
                  <c:v/>
                </c:pt>
                <c:pt idx="27">
                  <c:v/>
                </c:pt>
                <c:pt idx="28">
                  <c:v/>
                </c:pt>
                <c:pt idx="29">
                  <c:v/>
                </c:pt>
                <c:pt idx="30">
                  <c:v/>
                </c:pt>
                <c:pt idx="31">
                  <c:v/>
                </c:pt>
                <c:pt idx="32">
                  <c:v/>
                </c:pt>
                <c:pt idx="33">
                  <c:v/>
                </c:pt>
                <c:pt idx="34">
                  <c:v/>
                </c:pt>
                <c:pt idx="35">
                  <c:v/>
                </c:pt>
                <c:pt idx="36">
                  <c:v>2018</c:v>
                </c:pt>
                <c:pt idx="37">
                  <c:v/>
                </c:pt>
                <c:pt idx="38">
                  <c:v/>
                </c:pt>
                <c:pt idx="39">
                  <c:v/>
                </c:pt>
                <c:pt idx="40">
                  <c:v/>
                </c:pt>
                <c:pt idx="41">
                  <c:v/>
                </c:pt>
                <c:pt idx="42">
                  <c:v/>
                </c:pt>
                <c:pt idx="43">
                  <c:v/>
                </c:pt>
                <c:pt idx="44">
                  <c:v/>
                </c:pt>
                <c:pt idx="45">
                  <c:v/>
                </c:pt>
                <c:pt idx="46">
                  <c:v/>
                </c:pt>
                <c:pt idx="47">
                  <c:v/>
                </c:pt>
                <c:pt idx="48">
                  <c:v>2019</c:v>
                </c:pt>
                <c:pt idx="49">
                  <c:v/>
                </c:pt>
                <c:pt idx="50">
                  <c:v/>
                </c:pt>
                <c:pt idx="51">
                  <c:v/>
                </c:pt>
                <c:pt idx="52">
                  <c:v/>
                </c:pt>
                <c:pt idx="53">
                  <c:v/>
                </c:pt>
                <c:pt idx="54">
                  <c:v/>
                </c:pt>
                <c:pt idx="55">
                  <c:v/>
                </c:pt>
                <c:pt idx="56">
                  <c:v/>
                </c:pt>
                <c:pt idx="57">
                  <c:v/>
                </c:pt>
                <c:pt idx="58">
                  <c:v/>
                </c:pt>
                <c:pt idx="59">
                  <c:v/>
                </c:pt>
                <c:pt idx="60">
                  <c:v>2020</c:v>
                </c:pt>
                <c:pt idx="61">
                  <c:v/>
                </c:pt>
                <c:pt idx="62">
                  <c:v/>
                </c:pt>
                <c:pt idx="63">
                  <c:v/>
                </c:pt>
                <c:pt idx="64">
                  <c:v/>
                </c:pt>
                <c:pt idx="65">
                  <c:v/>
                </c:pt>
                <c:pt idx="66">
                  <c:v/>
                </c:pt>
                <c:pt idx="67">
                  <c:v/>
                </c:pt>
                <c:pt idx="68">
                  <c:v/>
                </c:pt>
                <c:pt idx="69">
                  <c:v/>
                </c:pt>
                <c:pt idx="70">
                  <c:v/>
                </c:pt>
                <c:pt idx="71">
                  <c:v/>
                </c:pt>
                <c:pt idx="72">
                  <c:v>2021</c:v>
                </c:pt>
                <c:pt idx="73">
                  <c:v/>
                </c:pt>
              </c:strCache>
            </c:strRef>
          </c:cat>
          <c:val>
            <c:numRef>
              <c:f>'Share price - MCD'!$C$15:$C$88</c:f>
              <c:numCache>
                <c:ptCount val="73"/>
                <c:pt idx="0">
                  <c:v>92.440000</c:v>
                </c:pt>
                <c:pt idx="1">
                  <c:v>98.900000</c:v>
                </c:pt>
                <c:pt idx="2">
                  <c:v>97.440000</c:v>
                </c:pt>
                <c:pt idx="3">
                  <c:v>96.550000</c:v>
                </c:pt>
                <c:pt idx="4">
                  <c:v>95.930000</c:v>
                </c:pt>
                <c:pt idx="5">
                  <c:v>95.070000</c:v>
                </c:pt>
                <c:pt idx="6">
                  <c:v>99.860000</c:v>
                </c:pt>
                <c:pt idx="7">
                  <c:v>95.020000</c:v>
                </c:pt>
                <c:pt idx="8">
                  <c:v>98.530000</c:v>
                </c:pt>
                <c:pt idx="9">
                  <c:v>112.250000</c:v>
                </c:pt>
                <c:pt idx="10">
                  <c:v>114.160000</c:v>
                </c:pt>
                <c:pt idx="11">
                  <c:v>118.140000</c:v>
                </c:pt>
                <c:pt idx="12">
                  <c:v>123.780000</c:v>
                </c:pt>
                <c:pt idx="13">
                  <c:v>117.190000</c:v>
                </c:pt>
                <c:pt idx="14">
                  <c:v>125.680000</c:v>
                </c:pt>
                <c:pt idx="15">
                  <c:v>126.490000</c:v>
                </c:pt>
                <c:pt idx="16">
                  <c:v>122.060000</c:v>
                </c:pt>
                <c:pt idx="17">
                  <c:v>120.340000</c:v>
                </c:pt>
                <c:pt idx="18">
                  <c:v>117.650000</c:v>
                </c:pt>
                <c:pt idx="19">
                  <c:v>115.660000</c:v>
                </c:pt>
                <c:pt idx="20">
                  <c:v>115.360000</c:v>
                </c:pt>
                <c:pt idx="21">
                  <c:v>112.570000</c:v>
                </c:pt>
                <c:pt idx="22">
                  <c:v>119.270000</c:v>
                </c:pt>
                <c:pt idx="23">
                  <c:v>121.720000</c:v>
                </c:pt>
                <c:pt idx="24">
                  <c:v>122.570000</c:v>
                </c:pt>
                <c:pt idx="25">
                  <c:v>127.650000</c:v>
                </c:pt>
                <c:pt idx="26">
                  <c:v>129.610000</c:v>
                </c:pt>
                <c:pt idx="27">
                  <c:v>139.930000</c:v>
                </c:pt>
                <c:pt idx="28">
                  <c:v>150.890000</c:v>
                </c:pt>
                <c:pt idx="29">
                  <c:v>153.160000</c:v>
                </c:pt>
                <c:pt idx="30">
                  <c:v>155.140000</c:v>
                </c:pt>
                <c:pt idx="31">
                  <c:v>159.970000</c:v>
                </c:pt>
                <c:pt idx="32">
                  <c:v>156.680000</c:v>
                </c:pt>
                <c:pt idx="33">
                  <c:v>166.910000</c:v>
                </c:pt>
                <c:pt idx="34">
                  <c:v>171.970000</c:v>
                </c:pt>
                <c:pt idx="35">
                  <c:v>172.120000</c:v>
                </c:pt>
                <c:pt idx="36">
                  <c:v>171.140000</c:v>
                </c:pt>
                <c:pt idx="37">
                  <c:v>157.740000</c:v>
                </c:pt>
                <c:pt idx="38">
                  <c:v>156.380000</c:v>
                </c:pt>
                <c:pt idx="39">
                  <c:v>167.440000</c:v>
                </c:pt>
                <c:pt idx="40">
                  <c:v>160.010000</c:v>
                </c:pt>
                <c:pt idx="41">
                  <c:v>156.690000</c:v>
                </c:pt>
                <c:pt idx="42">
                  <c:v>157.540000</c:v>
                </c:pt>
                <c:pt idx="43">
                  <c:v>162.230000</c:v>
                </c:pt>
                <c:pt idx="44">
                  <c:v>167.290000</c:v>
                </c:pt>
                <c:pt idx="45">
                  <c:v>176.900000</c:v>
                </c:pt>
                <c:pt idx="46">
                  <c:v>188.510000</c:v>
                </c:pt>
                <c:pt idx="47">
                  <c:v>177.570000</c:v>
                </c:pt>
                <c:pt idx="48">
                  <c:v>178.780000</c:v>
                </c:pt>
                <c:pt idx="49">
                  <c:v>183.840000</c:v>
                </c:pt>
                <c:pt idx="50">
                  <c:v>189.900000</c:v>
                </c:pt>
                <c:pt idx="51">
                  <c:v>197.570000</c:v>
                </c:pt>
                <c:pt idx="52">
                  <c:v>198.270000</c:v>
                </c:pt>
                <c:pt idx="53">
                  <c:v>207.660000</c:v>
                </c:pt>
                <c:pt idx="54">
                  <c:v>210.720000</c:v>
                </c:pt>
                <c:pt idx="55">
                  <c:v>217.970000</c:v>
                </c:pt>
                <c:pt idx="56">
                  <c:v>214.710000</c:v>
                </c:pt>
                <c:pt idx="57">
                  <c:v>196.700000</c:v>
                </c:pt>
                <c:pt idx="58">
                  <c:v>194.480000</c:v>
                </c:pt>
                <c:pt idx="59">
                  <c:v>197.610000</c:v>
                </c:pt>
                <c:pt idx="60">
                  <c:v>213.970000</c:v>
                </c:pt>
                <c:pt idx="61">
                  <c:v>194.170000</c:v>
                </c:pt>
                <c:pt idx="62">
                  <c:v>165.350000</c:v>
                </c:pt>
                <c:pt idx="63">
                  <c:v>185.890000</c:v>
                </c:pt>
                <c:pt idx="64">
                  <c:v>186.320000</c:v>
                </c:pt>
                <c:pt idx="65">
                  <c:v>184.470000</c:v>
                </c:pt>
                <c:pt idx="66">
                  <c:v>193.149994</c:v>
                </c:pt>
                <c:pt idx="67">
                  <c:v>213.520004</c:v>
                </c:pt>
                <c:pt idx="68">
                  <c:v>219.490005</c:v>
                </c:pt>
                <c:pt idx="69">
                  <c:v>211.741486</c:v>
                </c:pt>
                <c:pt idx="70">
                  <c:v>217.440002</c:v>
                </c:pt>
                <c:pt idx="71">
                  <c:v>211.559998</c:v>
                </c:pt>
                <c:pt idx="72">
                  <c:v>206.820007</c:v>
                </c:pt>
              </c:numCache>
            </c:numRef>
          </c:val>
          <c:smooth val="0"/>
        </c:ser>
        <c:ser>
          <c:idx val="1"/>
          <c:order val="1"/>
          <c:tx>
            <c:strRef>
              <c:f>'Share price - MCD'!$D$2</c:f>
              <c:strCache>
                <c:ptCount val="1"/>
                <c:pt idx="0">
                  <c:v>Target</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'Share price - MCD'!$A$15:$A$88</c:f>
              <c:strCache>
                <c:ptCount val="74"/>
                <c:pt idx="0">
                  <c:v>2015</c:v>
                </c:pt>
                <c:pt idx="1">
                  <c:v/>
                </c:pt>
                <c:pt idx="2">
                  <c:v/>
                </c:pt>
                <c:pt idx="3">
                  <c:v/>
                </c:pt>
                <c:pt idx="4">
                  <c:v/>
                </c:pt>
                <c:pt idx="5">
                  <c:v/>
                </c:pt>
                <c:pt idx="6">
                  <c:v/>
                </c:pt>
                <c:pt idx="7">
                  <c:v/>
                </c:pt>
                <c:pt idx="8">
                  <c:v/>
                </c:pt>
                <c:pt idx="9">
                  <c:v/>
                </c:pt>
                <c:pt idx="10">
                  <c:v/>
                </c:pt>
                <c:pt idx="11">
                  <c:v/>
                </c:pt>
                <c:pt idx="12">
                  <c:v>2016</c:v>
                </c:pt>
                <c:pt idx="13">
                  <c:v/>
                </c:pt>
                <c:pt idx="14">
                  <c:v/>
                </c:pt>
                <c:pt idx="15">
                  <c:v/>
                </c:pt>
                <c:pt idx="16">
                  <c:v/>
                </c:pt>
                <c:pt idx="17">
                  <c:v/>
                </c:pt>
                <c:pt idx="18">
                  <c:v/>
                </c:pt>
                <c:pt idx="19">
                  <c:v/>
                </c:pt>
                <c:pt idx="20">
                  <c:v/>
                </c:pt>
                <c:pt idx="21">
                  <c:v/>
                </c:pt>
                <c:pt idx="22">
                  <c:v/>
                </c:pt>
                <c:pt idx="23">
                  <c:v/>
                </c:pt>
                <c:pt idx="24">
                  <c:v>2017</c:v>
                </c:pt>
                <c:pt idx="25">
                  <c:v/>
                </c:pt>
                <c:pt idx="26">
                  <c:v/>
                </c:pt>
                <c:pt idx="27">
                  <c:v/>
                </c:pt>
                <c:pt idx="28">
                  <c:v/>
                </c:pt>
                <c:pt idx="29">
                  <c:v/>
                </c:pt>
                <c:pt idx="30">
                  <c:v/>
                </c:pt>
                <c:pt idx="31">
                  <c:v/>
                </c:pt>
                <c:pt idx="32">
                  <c:v/>
                </c:pt>
                <c:pt idx="33">
                  <c:v/>
                </c:pt>
                <c:pt idx="34">
                  <c:v/>
                </c:pt>
                <c:pt idx="35">
                  <c:v/>
                </c:pt>
                <c:pt idx="36">
                  <c:v>2018</c:v>
                </c:pt>
                <c:pt idx="37">
                  <c:v/>
                </c:pt>
                <c:pt idx="38">
                  <c:v/>
                </c:pt>
                <c:pt idx="39">
                  <c:v/>
                </c:pt>
                <c:pt idx="40">
                  <c:v/>
                </c:pt>
                <c:pt idx="41">
                  <c:v/>
                </c:pt>
                <c:pt idx="42">
                  <c:v/>
                </c:pt>
                <c:pt idx="43">
                  <c:v/>
                </c:pt>
                <c:pt idx="44">
                  <c:v/>
                </c:pt>
                <c:pt idx="45">
                  <c:v/>
                </c:pt>
                <c:pt idx="46">
                  <c:v/>
                </c:pt>
                <c:pt idx="47">
                  <c:v/>
                </c:pt>
                <c:pt idx="48">
                  <c:v>2019</c:v>
                </c:pt>
                <c:pt idx="49">
                  <c:v/>
                </c:pt>
                <c:pt idx="50">
                  <c:v/>
                </c:pt>
                <c:pt idx="51">
                  <c:v/>
                </c:pt>
                <c:pt idx="52">
                  <c:v/>
                </c:pt>
                <c:pt idx="53">
                  <c:v/>
                </c:pt>
                <c:pt idx="54">
                  <c:v/>
                </c:pt>
                <c:pt idx="55">
                  <c:v/>
                </c:pt>
                <c:pt idx="56">
                  <c:v/>
                </c:pt>
                <c:pt idx="57">
                  <c:v/>
                </c:pt>
                <c:pt idx="58">
                  <c:v/>
                </c:pt>
                <c:pt idx="59">
                  <c:v/>
                </c:pt>
                <c:pt idx="60">
                  <c:v>2020</c:v>
                </c:pt>
                <c:pt idx="61">
                  <c:v/>
                </c:pt>
                <c:pt idx="62">
                  <c:v/>
                </c:pt>
                <c:pt idx="63">
                  <c:v/>
                </c:pt>
                <c:pt idx="64">
                  <c:v/>
                </c:pt>
                <c:pt idx="65">
                  <c:v/>
                </c:pt>
                <c:pt idx="66">
                  <c:v/>
                </c:pt>
                <c:pt idx="67">
                  <c:v/>
                </c:pt>
                <c:pt idx="68">
                  <c:v/>
                </c:pt>
                <c:pt idx="69">
                  <c:v/>
                </c:pt>
                <c:pt idx="70">
                  <c:v/>
                </c:pt>
                <c:pt idx="71">
                  <c:v/>
                </c:pt>
                <c:pt idx="72">
                  <c:v>2021</c:v>
                </c:pt>
                <c:pt idx="73">
                  <c:v/>
                </c:pt>
              </c:strCache>
            </c:strRef>
          </c:cat>
          <c:val>
            <c:numRef>
              <c:f>'Share price - MCD'!$D$15:$D$88</c:f>
              <c:numCache>
                <c:ptCount val="2"/>
                <c:pt idx="72">
                  <c:v>206.820007</c:v>
                </c:pt>
                <c:pt idx="73">
                  <c:v>263.626081</c:v>
                </c:pt>
              </c:numCache>
            </c:numRef>
          </c:val>
          <c:smooth val="0"/>
        </c:ser>
        <c:marker val="1"/>
        <c:axId val="2094734552"/>
        <c:axId val="2094734553"/>
      </c:lineChart>
      <c:catAx>
        <c:axId val="2094734552"/>
        <c:scaling>
          <c:orientation val="minMax"/>
        </c:scaling>
        <c:delete val="0"/>
        <c:axPos val="b"/>
        <c:numFmt formatCode="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min val="50"/>
        </c:scaling>
        <c:delete val="0"/>
        <c:axPos val="l"/>
        <c:majorGridlines>
          <c:spPr>
            <a:ln w="6350" cap="flat">
              <a:solidFill>
                <a:srgbClr val="B8B8B8"/>
              </a:solidFill>
              <a:prstDash val="solid"/>
              <a:miter lim="400000"/>
            </a:ln>
          </c:spPr>
        </c:majorGridlines>
        <c:numFmt formatCode="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57.5"/>
        <c:minorUnit val="28.75"/>
      </c:valAx>
      <c:spPr>
        <a:noFill/>
        <a:ln w="12700" cap="flat">
          <a:noFill/>
          <a:miter lim="400000"/>
        </a:ln>
        <a:effectLst/>
      </c:spPr>
    </c:plotArea>
    <c:legend>
      <c:legendPos val="r"/>
      <c:layout>
        <c:manualLayout>
          <c:xMode val="edge"/>
          <c:yMode val="edge"/>
          <c:x val="0.343271"/>
          <c:y val="0.0979537"/>
          <c:w val="0.235267"/>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10</xdr:col>
      <xdr:colOff>1225515</xdr:colOff>
      <xdr:row>1</xdr:row>
      <xdr:rowOff>230343</xdr:rowOff>
    </xdr:from>
    <xdr:to>
      <xdr:col>14</xdr:col>
      <xdr:colOff>719623</xdr:colOff>
      <xdr:row>14</xdr:row>
      <xdr:rowOff>153712</xdr:rowOff>
    </xdr:to>
    <xdr:graphicFrame>
      <xdr:nvGraphicFramePr>
        <xdr:cNvPr id="2" name="Chart 2"/>
        <xdr:cNvGraphicFramePr/>
      </xdr:nvGraphicFramePr>
      <xdr:xfrm>
        <a:off x="10763215" y="935828"/>
        <a:ext cx="4472509" cy="3487625"/>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6</xdr:col>
      <xdr:colOff>1091573</xdr:colOff>
      <xdr:row>16</xdr:row>
      <xdr:rowOff>91176</xdr:rowOff>
    </xdr:from>
    <xdr:to>
      <xdr:col>10</xdr:col>
      <xdr:colOff>469645</xdr:colOff>
      <xdr:row>30</xdr:row>
      <xdr:rowOff>13909</xdr:rowOff>
    </xdr:to>
    <xdr:graphicFrame>
      <xdr:nvGraphicFramePr>
        <xdr:cNvPr id="3" name="Chart 3"/>
        <xdr:cNvGraphicFramePr/>
      </xdr:nvGraphicFramePr>
      <xdr:xfrm>
        <a:off x="5650873" y="4870186"/>
        <a:ext cx="4356473" cy="3487624"/>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6</xdr:col>
      <xdr:colOff>1013457</xdr:colOff>
      <xdr:row>1</xdr:row>
      <xdr:rowOff>257807</xdr:rowOff>
    </xdr:from>
    <xdr:to>
      <xdr:col>10</xdr:col>
      <xdr:colOff>380201</xdr:colOff>
      <xdr:row>14</xdr:row>
      <xdr:rowOff>181175</xdr:rowOff>
    </xdr:to>
    <xdr:graphicFrame>
      <xdr:nvGraphicFramePr>
        <xdr:cNvPr id="4" name="Chart 4"/>
        <xdr:cNvGraphicFramePr/>
      </xdr:nvGraphicFramePr>
      <xdr:xfrm>
        <a:off x="5572757" y="963292"/>
        <a:ext cx="4345145" cy="3487624"/>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10</xdr:col>
      <xdr:colOff>1202047</xdr:colOff>
      <xdr:row>16</xdr:row>
      <xdr:rowOff>63712</xdr:rowOff>
    </xdr:from>
    <xdr:to>
      <xdr:col>14</xdr:col>
      <xdr:colOff>656476</xdr:colOff>
      <xdr:row>29</xdr:row>
      <xdr:rowOff>241080</xdr:rowOff>
    </xdr:to>
    <xdr:graphicFrame>
      <xdr:nvGraphicFramePr>
        <xdr:cNvPr id="5" name="Chart 5"/>
        <xdr:cNvGraphicFramePr/>
      </xdr:nvGraphicFramePr>
      <xdr:xfrm>
        <a:off x="10739747" y="4842722"/>
        <a:ext cx="4432830" cy="3487624"/>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10</xdr:col>
      <xdr:colOff>1057890</xdr:colOff>
      <xdr:row>31</xdr:row>
      <xdr:rowOff>253064</xdr:rowOff>
    </xdr:from>
    <xdr:to>
      <xdr:col>14</xdr:col>
      <xdr:colOff>496982</xdr:colOff>
      <xdr:row>46</xdr:row>
      <xdr:rowOff>2760</xdr:rowOff>
    </xdr:to>
    <xdr:graphicFrame>
      <xdr:nvGraphicFramePr>
        <xdr:cNvPr id="6" name="Chart 6"/>
        <xdr:cNvGraphicFramePr/>
      </xdr:nvGraphicFramePr>
      <xdr:xfrm>
        <a:off x="10595590" y="8851599"/>
        <a:ext cx="4417493" cy="3542552"/>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7</xdr:col>
      <xdr:colOff>116782</xdr:colOff>
      <xdr:row>32</xdr:row>
      <xdr:rowOff>53357</xdr:rowOff>
    </xdr:from>
    <xdr:to>
      <xdr:col>10</xdr:col>
      <xdr:colOff>701479</xdr:colOff>
      <xdr:row>46</xdr:row>
      <xdr:rowOff>2760</xdr:rowOff>
    </xdr:to>
    <xdr:graphicFrame>
      <xdr:nvGraphicFramePr>
        <xdr:cNvPr id="7" name="Chart 7"/>
        <xdr:cNvGraphicFramePr/>
      </xdr:nvGraphicFramePr>
      <xdr:xfrm>
        <a:off x="5920682" y="8906527"/>
        <a:ext cx="4318498" cy="3487624"/>
      </xdr:xfrm>
      <a:graphic xmlns:a="http://schemas.openxmlformats.org/drawingml/2006/main">
        <a:graphicData uri="http://schemas.openxmlformats.org/drawingml/2006/chart">
          <c:chart xmlns:c="http://schemas.openxmlformats.org/drawingml/2006/chart" r:id="rId6"/>
        </a:graphicData>
      </a:graphic>
    </xdr:graphicFrame>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6.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12</v>
      </c>
      <c r="C11" s="3"/>
      <c r="D11" s="3"/>
    </row>
    <row r="12">
      <c r="B12" s="4"/>
      <c r="C12" t="s" s="4">
        <v>13</v>
      </c>
      <c r="D12" t="s" s="5">
        <v>14</v>
      </c>
    </row>
    <row r="13">
      <c r="B13" t="s" s="3">
        <v>23</v>
      </c>
      <c r="C13" s="3"/>
      <c r="D13" s="3"/>
    </row>
    <row r="14">
      <c r="B14" s="4"/>
      <c r="C14" t="s" s="4">
        <v>24</v>
      </c>
      <c r="D14" t="s" s="5">
        <v>25</v>
      </c>
    </row>
    <row r="15">
      <c r="B15" t="s" s="3">
        <v>34</v>
      </c>
      <c r="C15" s="3"/>
      <c r="D15" s="3"/>
    </row>
    <row r="16">
      <c r="B16" s="4"/>
      <c r="C16" t="s" s="4">
        <v>35</v>
      </c>
      <c r="D16" t="s" s="5">
        <v>36</v>
      </c>
    </row>
    <row r="17">
      <c r="B17" t="s" s="3">
        <v>40</v>
      </c>
      <c r="C17" s="3"/>
      <c r="D17" s="3"/>
    </row>
    <row r="18">
      <c r="B18" s="4"/>
      <c r="C18" t="s" s="4">
        <v>41</v>
      </c>
      <c r="D18" t="s" s="5">
        <v>42</v>
      </c>
    </row>
    <row r="19">
      <c r="B19" t="s" s="3">
        <v>59</v>
      </c>
      <c r="C19" s="3"/>
      <c r="D19" s="3"/>
    </row>
    <row r="20">
      <c r="B20" s="4"/>
      <c r="C20" t="s" s="4">
        <v>60</v>
      </c>
      <c r="D20" t="s" s="5">
        <v>61</v>
      </c>
    </row>
  </sheetData>
  <mergeCells count="1">
    <mergeCell ref="B3:D3"/>
  </mergeCells>
  <hyperlinks>
    <hyperlink ref="D10" location="'Sales - Quarterly sales'!R3C2" tooltip="" display="Sales - Quarterly sales"/>
    <hyperlink ref="D12" location="'Cashflow  - Quarterly Cashflow'!R3C2" tooltip="" display="Cashflow  - Quarterly Cashflow"/>
    <hyperlink ref="D14" location="'Balance sheet - Assets'!R3C2" tooltip="" display="Balance sheet - Assets"/>
    <hyperlink ref="D16" location="'Share price - MCD'!R2C1" tooltip="" display="Share price - MCD"/>
    <hyperlink ref="D18" location="'Model - Financial model'!R3C2" tooltip="" display="Model - Financial model"/>
    <hyperlink ref="D20" location="'Valuation  - Valuation'!R3C2" tooltip="" display="Valuation  - Valuation"/>
  </hyperlinks>
</worksheet>
</file>

<file path=xl/worksheets/sheet2.xml><?xml version="1.0" encoding="utf-8"?>
<worksheet xmlns:r="http://schemas.openxmlformats.org/officeDocument/2006/relationships" xmlns="http://schemas.openxmlformats.org/spreadsheetml/2006/main">
  <dimension ref="B3:H31"/>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6.88281" style="6" customWidth="1"/>
    <col min="2" max="2" width="7.88281" style="6" customWidth="1"/>
    <col min="3" max="3" width="9.41406" style="6" customWidth="1"/>
    <col min="4" max="4" width="11.5" style="6" customWidth="1"/>
    <col min="5" max="8" width="9.41406" style="6" customWidth="1"/>
    <col min="9" max="16384" width="16.3516" style="6" customWidth="1"/>
  </cols>
  <sheetData>
    <row r="1" ht="29.2" customHeight="1"/>
    <row r="2" ht="27.65" customHeight="1">
      <c r="B2" t="s" s="7">
        <v>5</v>
      </c>
      <c r="C2" s="7"/>
      <c r="D2" s="7"/>
      <c r="E2" s="7"/>
      <c r="F2" s="7"/>
      <c r="G2" s="7"/>
      <c r="H2" s="7"/>
    </row>
    <row r="3" ht="32.25" customHeight="1">
      <c r="B3" t="s" s="8">
        <v>7</v>
      </c>
      <c r="C3" t="s" s="8">
        <v>8</v>
      </c>
      <c r="D3" t="s" s="8">
        <v>9</v>
      </c>
      <c r="E3" t="s" s="8">
        <v>10</v>
      </c>
      <c r="F3" t="s" s="8">
        <v>11</v>
      </c>
      <c r="G3" t="s" s="8">
        <v>9</v>
      </c>
      <c r="H3" s="9"/>
    </row>
    <row r="4" ht="20.25" customHeight="1">
      <c r="B4" s="10">
        <v>2015</v>
      </c>
      <c r="C4" s="11">
        <v>5958.9</v>
      </c>
      <c r="D4" s="12"/>
      <c r="E4" s="12"/>
      <c r="F4" s="13">
        <f>('Cashflow  - Quarterly Cashflow'!C4+'Cashflow  - Quarterly Cashflow'!D4-C4)/C4</f>
        <v>-0.752806726073604</v>
      </c>
      <c r="G4" s="13"/>
      <c r="H4" s="13"/>
    </row>
    <row r="5" ht="20.05" customHeight="1">
      <c r="B5" s="14"/>
      <c r="C5" s="15">
        <v>6497.7</v>
      </c>
      <c r="D5" s="16"/>
      <c r="E5" s="17">
        <f>C5/C4-1</f>
        <v>0.0904193727030157</v>
      </c>
      <c r="F5" s="17">
        <f>('Cashflow  - Quarterly Cashflow'!C5+'Cashflow  - Quarterly Cashflow'!D5-C5)/C5</f>
        <v>-0.746941225356665</v>
      </c>
      <c r="G5" s="17"/>
      <c r="H5" s="17"/>
    </row>
    <row r="6" ht="20.05" customHeight="1">
      <c r="B6" s="14"/>
      <c r="C6" s="15">
        <v>6615.1</v>
      </c>
      <c r="D6" s="16"/>
      <c r="E6" s="17">
        <f>C6/C5-1</f>
        <v>0.018067931729689</v>
      </c>
      <c r="F6" s="17">
        <f>('Cashflow  - Quarterly Cashflow'!C6+'Cashflow  - Quarterly Cashflow'!D6-C6)/C6</f>
        <v>-0.7350002267539421</v>
      </c>
      <c r="G6" s="17"/>
      <c r="H6" s="17"/>
    </row>
    <row r="7" ht="20.05" customHeight="1">
      <c r="B7" s="14"/>
      <c r="C7" s="15">
        <v>6743.5</v>
      </c>
      <c r="D7" s="16"/>
      <c r="E7" s="17">
        <f>C7/C6-1</f>
        <v>0.0194101374128887</v>
      </c>
      <c r="F7" s="17">
        <f>('Cashflow  - Quarterly Cashflow'!C7+'Cashflow  - Quarterly Cashflow'!D7-C7)/C7</f>
        <v>-0.777430117891303</v>
      </c>
      <c r="G7" s="17"/>
      <c r="H7" s="17">
        <f>AVERAGE(E4:E7)</f>
        <v>0.0426324806151978</v>
      </c>
    </row>
    <row r="8" ht="20.05" customHeight="1">
      <c r="B8" s="18">
        <v>2016</v>
      </c>
      <c r="C8" s="15">
        <v>5903.9</v>
      </c>
      <c r="D8" s="16"/>
      <c r="E8" s="17">
        <f>C8/C7-1</f>
        <v>-0.124505078964929</v>
      </c>
      <c r="F8" s="17">
        <f>('Cashflow  - Quarterly Cashflow'!C8+'Cashflow  - Quarterly Cashflow'!D8-C8)/C8</f>
        <v>-0.745608834837988</v>
      </c>
      <c r="G8" s="17"/>
      <c r="H8" s="17">
        <f>AVERAGE(E5:E8)</f>
        <v>0.0008480907201661</v>
      </c>
    </row>
    <row r="9" ht="20.05" customHeight="1">
      <c r="B9" s="14"/>
      <c r="C9" s="15">
        <v>6265</v>
      </c>
      <c r="D9" s="16"/>
      <c r="E9" s="17">
        <f>C9/C8-1</f>
        <v>0.0611629600772371</v>
      </c>
      <c r="F9" s="17">
        <f>('Cashflow  - Quarterly Cashflow'!C9+'Cashflow  - Quarterly Cashflow'!D9-C9)/C9</f>
        <v>-0.752290502793296</v>
      </c>
      <c r="G9" s="17"/>
      <c r="H9" s="17">
        <f>AVERAGE(E6:E9)</f>
        <v>-0.00646601243627855</v>
      </c>
    </row>
    <row r="10" ht="20.05" customHeight="1">
      <c r="B10" s="14"/>
      <c r="C10" s="15">
        <v>6424.1</v>
      </c>
      <c r="D10" s="16"/>
      <c r="E10" s="17">
        <f>C10/C9-1</f>
        <v>0.0253950518754988</v>
      </c>
      <c r="F10" s="17">
        <f>('Cashflow  - Quarterly Cashflow'!C10+'Cashflow  - Quarterly Cashflow'!D10-C10)/C10</f>
        <v>-0.771610030977102</v>
      </c>
      <c r="G10" s="17"/>
      <c r="H10" s="17">
        <f>AVERAGE(E7:E10)</f>
        <v>-0.0046342323998261</v>
      </c>
    </row>
    <row r="11" ht="20.05" customHeight="1">
      <c r="B11" s="14"/>
      <c r="C11" s="15">
        <v>5626.7</v>
      </c>
      <c r="D11" s="16"/>
      <c r="E11" s="17">
        <f>C11/C10-1</f>
        <v>-0.124126336763126</v>
      </c>
      <c r="F11" s="17">
        <f>('Cashflow  - Quarterly Cashflow'!C11+'Cashflow  - Quarterly Cashflow'!D11-C11)/C11</f>
        <v>-0.756233671601472</v>
      </c>
      <c r="G11" s="17"/>
      <c r="H11" s="17">
        <f>AVERAGE(E8:E11)</f>
        <v>-0.0405183509438298</v>
      </c>
    </row>
    <row r="12" ht="20.05" customHeight="1">
      <c r="B12" s="18">
        <v>2017</v>
      </c>
      <c r="C12" s="15">
        <v>5675.9</v>
      </c>
      <c r="D12" s="16"/>
      <c r="E12" s="17">
        <f>C12/C11-1</f>
        <v>0.008744024028293671</v>
      </c>
      <c r="F12" s="17">
        <f>('Cashflow  - Quarterly Cashflow'!C12+'Cashflow  - Quarterly Cashflow'!D12-C12)/C12</f>
        <v>-0.729382124420797</v>
      </c>
      <c r="G12" s="17"/>
      <c r="H12" s="17">
        <f>AVERAGE(E9:E12)</f>
        <v>-0.00720607519552411</v>
      </c>
    </row>
    <row r="13" ht="20.05" customHeight="1">
      <c r="B13" s="14"/>
      <c r="C13" s="15">
        <v>6049.7</v>
      </c>
      <c r="D13" s="16"/>
      <c r="E13" s="17">
        <f>C13/C12-1</f>
        <v>0.06585739706478271</v>
      </c>
      <c r="F13" s="17">
        <f>('Cashflow  - Quarterly Cashflow'!C13+'Cashflow  - Quarterly Cashflow'!D13-C13)/C13</f>
        <v>-0.711638593649272</v>
      </c>
      <c r="G13" s="17"/>
      <c r="H13" s="17">
        <f>AVERAGE(E10:E13)</f>
        <v>-0.00603246594863771</v>
      </c>
    </row>
    <row r="14" ht="20.05" customHeight="1">
      <c r="B14" s="14"/>
      <c r="C14" s="15">
        <v>5754.6</v>
      </c>
      <c r="D14" s="16"/>
      <c r="E14" s="17">
        <f>C14/C13-1</f>
        <v>-0.0487792783113212</v>
      </c>
      <c r="F14" s="17">
        <f>('Cashflow  - Quarterly Cashflow'!C14+'Cashflow  - Quarterly Cashflow'!D14-C14)/C14</f>
        <v>-0.72894727696104</v>
      </c>
      <c r="G14" s="17"/>
      <c r="H14" s="17">
        <f>AVERAGE(E11:E14)</f>
        <v>-0.0245760484953427</v>
      </c>
    </row>
    <row r="15" ht="20.05" customHeight="1">
      <c r="B15" s="14"/>
      <c r="C15" s="15">
        <v>5340.2</v>
      </c>
      <c r="D15" s="16"/>
      <c r="E15" s="17">
        <f>C15/C14-1</f>
        <v>-0.072011955652869</v>
      </c>
      <c r="F15" s="17">
        <f>('Cashflow  - Quarterly Cashflow'!C15+'Cashflow  - Quarterly Cashflow'!D15-C15)/C15</f>
        <v>-0.683270289502266</v>
      </c>
      <c r="G15" s="17"/>
      <c r="H15" s="17">
        <f>AVERAGE(E12:E15)</f>
        <v>-0.0115474532177785</v>
      </c>
    </row>
    <row r="16" ht="20.05" customHeight="1">
      <c r="B16" s="18">
        <v>2018</v>
      </c>
      <c r="C16" s="15">
        <v>5138.9</v>
      </c>
      <c r="D16" s="16"/>
      <c r="E16" s="17">
        <f>C16/C15-1</f>
        <v>-0.0376952174075877</v>
      </c>
      <c r="F16" s="17">
        <f>('Cashflow  - Quarterly Cashflow'!C16+'Cashflow  - Quarterly Cashflow'!D16-C16)/C16</f>
        <v>-0.658993169744498</v>
      </c>
      <c r="G16" s="17"/>
      <c r="H16" s="17">
        <f>AVERAGE(E13:E16)</f>
        <v>-0.0231572635767488</v>
      </c>
    </row>
    <row r="17" ht="20.05" customHeight="1">
      <c r="B17" s="14"/>
      <c r="C17" s="15">
        <v>5353.9</v>
      </c>
      <c r="D17" s="16"/>
      <c r="E17" s="17">
        <f>C17/C16-1</f>
        <v>0.0418377473778435</v>
      </c>
      <c r="F17" s="17">
        <f>('Cashflow  - Quarterly Cashflow'!C17+'Cashflow  - Quarterly Cashflow'!D17-C17)/C17</f>
        <v>-0.654662955976017</v>
      </c>
      <c r="G17" s="17"/>
      <c r="H17" s="17">
        <f>AVERAGE(E14:E17)</f>
        <v>-0.0291621759984836</v>
      </c>
    </row>
    <row r="18" ht="20.05" customHeight="1">
      <c r="B18" s="14"/>
      <c r="C18" s="15">
        <v>5369.4</v>
      </c>
      <c r="D18" s="16"/>
      <c r="E18" s="17">
        <f>C18/C17-1</f>
        <v>0.00289508582528624</v>
      </c>
      <c r="F18" s="17">
        <f>('Cashflow  - Quarterly Cashflow'!C18+'Cashflow  - Quarterly Cashflow'!D18-C18)/C18</f>
        <v>-0.622527656721421</v>
      </c>
      <c r="G18" s="17"/>
      <c r="H18" s="17">
        <f>AVERAGE(E15:E18)</f>
        <v>-0.0162435849643317</v>
      </c>
    </row>
    <row r="19" ht="20.05" customHeight="1">
      <c r="B19" s="14"/>
      <c r="C19" s="15">
        <v>5163</v>
      </c>
      <c r="D19" s="16"/>
      <c r="E19" s="17">
        <f>C19/C18-1</f>
        <v>-0.0384400491675047</v>
      </c>
      <c r="F19" s="17">
        <f>('Cashflow  - Quarterly Cashflow'!C19+'Cashflow  - Quarterly Cashflow'!D19-C19)/C19</f>
        <v>-0.649176835173349</v>
      </c>
      <c r="G19" s="17"/>
      <c r="H19" s="17">
        <f>AVERAGE(E16:E19)</f>
        <v>-0.007850608342990671</v>
      </c>
    </row>
    <row r="20" ht="20.05" customHeight="1">
      <c r="B20" s="18">
        <v>2019</v>
      </c>
      <c r="C20" s="15">
        <v>5024.1</v>
      </c>
      <c r="D20" s="19"/>
      <c r="E20" s="17">
        <f>C20/C19-1</f>
        <v>-0.0269029633933759</v>
      </c>
      <c r="F20" s="17">
        <f>('Cashflow  - Quarterly Cashflow'!C20+'Cashflow  - Quarterly Cashflow'!D20-C20)/C20</f>
        <v>-0.630102904002707</v>
      </c>
      <c r="G20" s="17"/>
      <c r="H20" s="17">
        <f>AVERAGE(E17:E20)</f>
        <v>-0.00515254483943772</v>
      </c>
    </row>
    <row r="21" ht="20.05" customHeight="1">
      <c r="B21" s="14"/>
      <c r="C21" s="15">
        <v>5409.8</v>
      </c>
      <c r="D21" s="19"/>
      <c r="E21" s="17">
        <f>C21/C20-1</f>
        <v>0.076769968750622</v>
      </c>
      <c r="F21" s="17">
        <f>('Cashflow  - Quarterly Cashflow'!C21+'Cashflow  - Quarterly Cashflow'!D21-C21)/C21</f>
        <v>-0.627158120448076</v>
      </c>
      <c r="G21" s="17"/>
      <c r="H21" s="17">
        <f>AVERAGE(E18:E21)</f>
        <v>0.00358051050375691</v>
      </c>
    </row>
    <row r="22" ht="20.05" customHeight="1">
      <c r="B22" s="14"/>
      <c r="C22" s="15">
        <v>5430.6</v>
      </c>
      <c r="D22" s="19"/>
      <c r="E22" s="17">
        <f>C22/C21-1</f>
        <v>0.0038448741173426</v>
      </c>
      <c r="F22" s="17">
        <f>('Cashflow  - Quarterly Cashflow'!C22+'Cashflow  - Quarterly Cashflow'!D22-C22)/C22</f>
        <v>-0.61971052922329</v>
      </c>
      <c r="G22" s="17"/>
      <c r="H22" s="17">
        <f>AVERAGE(E19:E22)</f>
        <v>0.003817957576771</v>
      </c>
    </row>
    <row r="23" ht="20.05" customHeight="1">
      <c r="B23" s="14"/>
      <c r="C23" s="15">
        <v>5349</v>
      </c>
      <c r="D23" s="19"/>
      <c r="E23" s="17">
        <f>C23/C22-1</f>
        <v>-0.0150259639818805</v>
      </c>
      <c r="F23" s="17">
        <f>('Cashflow  - Quarterly Cashflow'!C23+'Cashflow  - Quarterly Cashflow'!D23-C23)/C23</f>
        <v>-0.647971583473546</v>
      </c>
      <c r="G23" s="20"/>
      <c r="H23" s="17">
        <f>AVERAGE(E20:E23)</f>
        <v>0.00967147887317705</v>
      </c>
    </row>
    <row r="24" ht="20.05" customHeight="1">
      <c r="B24" s="18">
        <v>2020</v>
      </c>
      <c r="C24" s="15">
        <v>4714.4</v>
      </c>
      <c r="D24" s="20"/>
      <c r="E24" s="17">
        <f>C24/C23-1</f>
        <v>-0.118638997943541</v>
      </c>
      <c r="F24" s="17">
        <f>('Cashflow  - Quarterly Cashflow'!C24+'Cashflow  - Quarterly Cashflow'!D24-C24)/C24</f>
        <v>-0.63036653656881</v>
      </c>
      <c r="G24" s="20"/>
      <c r="H24" s="17">
        <f>AVERAGE(E21:E24)</f>
        <v>-0.0132625297643642</v>
      </c>
    </row>
    <row r="25" ht="20.05" customHeight="1">
      <c r="B25" s="14"/>
      <c r="C25" s="15">
        <v>3761.5</v>
      </c>
      <c r="D25" s="20"/>
      <c r="E25" s="17">
        <f>C25/C24-1</f>
        <v>-0.202125403020533</v>
      </c>
      <c r="F25" s="17">
        <f>('Cashflow  - Quarterly Cashflow'!C25+'Cashflow  - Quarterly Cashflow'!D25-C25)/C25</f>
        <v>-0.729522796756613</v>
      </c>
      <c r="G25" s="20"/>
      <c r="H25" s="17">
        <f>AVERAGE(E22:E25)</f>
        <v>-0.08298637270715301</v>
      </c>
    </row>
    <row r="26" ht="20.05" customHeight="1">
      <c r="B26" s="14"/>
      <c r="C26" s="15">
        <v>5418</v>
      </c>
      <c r="D26" s="21">
        <v>3949.575</v>
      </c>
      <c r="E26" s="17">
        <f>C26/C25-1</f>
        <v>0.440382826000266</v>
      </c>
      <c r="F26" s="17">
        <f>('Cashflow  - Quarterly Cashflow'!C26+'Cashflow  - Quarterly Cashflow'!D26-C26)/C26</f>
        <v>-0.609449981543005</v>
      </c>
      <c r="G26" s="20"/>
      <c r="H26" s="17">
        <f>AVERAGE(E23:E26)</f>
        <v>0.0261481152635779</v>
      </c>
    </row>
    <row r="27" ht="20.05" customHeight="1">
      <c r="B27" s="14"/>
      <c r="C27" s="22">
        <v>5314</v>
      </c>
      <c r="D27" s="21">
        <v>5418</v>
      </c>
      <c r="E27" s="17">
        <f>C27/C26-1</f>
        <v>-0.0191952750092285</v>
      </c>
      <c r="F27" s="17">
        <f>('Cashflow  - Quarterly Cashflow'!C27+'Cashflow  - Quarterly Cashflow'!D27-C27)/C27</f>
        <v>-0.698532179149417</v>
      </c>
      <c r="G27" s="23">
        <f>F27</f>
        <v>-0.698532179149417</v>
      </c>
      <c r="H27" s="17">
        <f>AVERAGE(E24:E27)</f>
        <v>0.0251057875067409</v>
      </c>
    </row>
    <row r="28" ht="20.05" customHeight="1">
      <c r="B28" s="18">
        <v>2021</v>
      </c>
      <c r="C28" s="24"/>
      <c r="D28" s="21">
        <f>'Model - Financial model'!C6</f>
        <v>5418</v>
      </c>
      <c r="E28" s="20"/>
      <c r="F28" s="20"/>
      <c r="G28" s="23">
        <f>'Model - Financial model'!C7</f>
        <v>-0.653991080346211</v>
      </c>
      <c r="H28" s="25">
        <f>AVERAGE('Model - Financial model'!C5:F5)</f>
        <v>0.0275</v>
      </c>
    </row>
    <row r="29" ht="20.05" customHeight="1">
      <c r="B29" s="14"/>
      <c r="C29" s="24"/>
      <c r="D29" s="26">
        <f>'Model - Financial model'!D6</f>
        <v>5688.9</v>
      </c>
      <c r="E29" s="27"/>
      <c r="F29" s="20"/>
      <c r="G29" s="20"/>
      <c r="H29" s="20"/>
    </row>
    <row r="30" ht="20.05" customHeight="1">
      <c r="B30" s="14"/>
      <c r="C30" s="24"/>
      <c r="D30" s="26">
        <f>'Model - Financial model'!E6</f>
        <v>5745.789</v>
      </c>
      <c r="E30" s="20"/>
      <c r="F30" s="27"/>
      <c r="G30" s="20"/>
      <c r="H30" s="20"/>
    </row>
    <row r="31" ht="20.05" customHeight="1">
      <c r="B31" s="14"/>
      <c r="C31" s="24"/>
      <c r="D31" s="26">
        <f>'Model - Financial model'!F6</f>
        <v>6033.07845</v>
      </c>
      <c r="E31" s="20"/>
      <c r="F31" s="27"/>
      <c r="G31" s="20"/>
      <c r="H31" s="20"/>
    </row>
  </sheetData>
  <mergeCells count="1">
    <mergeCell ref="B2:H2"/>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B3:K2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6.21875" style="28" customWidth="1"/>
    <col min="2" max="2" width="11.3281" style="28" customWidth="1"/>
    <col min="3" max="11" width="11.3125" style="28" customWidth="1"/>
    <col min="12" max="16384" width="16.3516" style="28" customWidth="1"/>
  </cols>
  <sheetData>
    <row r="1" ht="50.6" customHeight="1"/>
    <row r="2" ht="27.65" customHeight="1">
      <c r="B2" t="s" s="7">
        <v>13</v>
      </c>
      <c r="C2" s="7"/>
      <c r="D2" s="7"/>
      <c r="E2" s="7"/>
      <c r="F2" s="7"/>
      <c r="G2" s="7"/>
      <c r="H2" s="7"/>
      <c r="I2" s="7"/>
      <c r="J2" s="7"/>
      <c r="K2" s="7"/>
    </row>
    <row r="3" ht="32.25" customHeight="1">
      <c r="B3" t="s" s="8">
        <v>7</v>
      </c>
      <c r="C3" t="s" s="8">
        <v>15</v>
      </c>
      <c r="D3" t="s" s="8">
        <v>16</v>
      </c>
      <c r="E3" t="s" s="8">
        <v>17</v>
      </c>
      <c r="F3" t="s" s="8">
        <v>18</v>
      </c>
      <c r="G3" t="s" s="8">
        <v>19</v>
      </c>
      <c r="H3" t="s" s="8">
        <v>20</v>
      </c>
      <c r="I3" t="s" s="8">
        <v>21</v>
      </c>
      <c r="J3" t="s" s="8">
        <v>9</v>
      </c>
      <c r="K3" t="s" s="8">
        <v>22</v>
      </c>
    </row>
    <row r="4" ht="20.25" customHeight="1">
      <c r="B4" s="10">
        <v>2015</v>
      </c>
      <c r="C4" s="29">
        <v>811.5</v>
      </c>
      <c r="D4" s="30">
        <v>661.5</v>
      </c>
      <c r="E4" s="30">
        <v>-393</v>
      </c>
      <c r="F4" s="30">
        <v>1699.5</v>
      </c>
      <c r="G4" s="30">
        <v>-349.2</v>
      </c>
      <c r="H4" s="30">
        <v>-1593.3</v>
      </c>
      <c r="I4" s="30">
        <f>F4+E4</f>
        <v>1306.5</v>
      </c>
      <c r="J4" s="30"/>
      <c r="K4" s="30">
        <f>-H4</f>
        <v>1593.3</v>
      </c>
    </row>
    <row r="5" ht="20.05" customHeight="1">
      <c r="B5" s="14"/>
      <c r="C5" s="31">
        <v>1202.4</v>
      </c>
      <c r="D5" s="26">
        <v>441.9</v>
      </c>
      <c r="E5" s="26">
        <v>-416</v>
      </c>
      <c r="F5" s="26">
        <v>1513.5</v>
      </c>
      <c r="G5" s="26">
        <v>-346.5</v>
      </c>
      <c r="H5" s="26">
        <v>1087.6</v>
      </c>
      <c r="I5" s="26">
        <f>F5+E5</f>
        <v>1097.5</v>
      </c>
      <c r="J5" s="26"/>
      <c r="K5" s="26">
        <f>-H5+K4</f>
        <v>505.7</v>
      </c>
    </row>
    <row r="6" ht="20.05" customHeight="1">
      <c r="B6" s="14"/>
      <c r="C6" s="31">
        <v>1309.2</v>
      </c>
      <c r="D6" s="26">
        <v>443.8</v>
      </c>
      <c r="E6" s="26">
        <v>-413</v>
      </c>
      <c r="F6" s="26">
        <v>1947.4</v>
      </c>
      <c r="G6" s="26">
        <v>-418.5</v>
      </c>
      <c r="H6" s="26">
        <v>-2978.6</v>
      </c>
      <c r="I6" s="26">
        <f>F6+E6</f>
        <v>1534.4</v>
      </c>
      <c r="J6" s="26"/>
      <c r="K6" s="26">
        <f>-H6+K5</f>
        <v>3484.3</v>
      </c>
    </row>
    <row r="7" ht="20.05" customHeight="1">
      <c r="B7" s="14"/>
      <c r="C7" s="31">
        <f>4529.3-SUM(C4:C6)</f>
        <v>1206.2</v>
      </c>
      <c r="D7" s="26">
        <v>294.7</v>
      </c>
      <c r="E7" s="26">
        <v>-592</v>
      </c>
      <c r="F7" s="26">
        <f>6539.1-SUM(F4:F6)</f>
        <v>1378.7</v>
      </c>
      <c r="G7" s="26">
        <f>-1420-SUM(G4:G6)</f>
        <v>-305.8</v>
      </c>
      <c r="H7" s="26">
        <f>735.3-SUM(H4:H6)</f>
        <v>4219.6</v>
      </c>
      <c r="I7" s="26">
        <f>F7+E7</f>
        <v>786.7</v>
      </c>
      <c r="J7" s="26"/>
      <c r="K7" s="26">
        <f>-H7+K6</f>
        <v>-735.3</v>
      </c>
    </row>
    <row r="8" ht="20.05" customHeight="1">
      <c r="B8" s="18">
        <v>2016</v>
      </c>
      <c r="C8" s="31">
        <v>1098.6</v>
      </c>
      <c r="D8" s="26">
        <v>403.3</v>
      </c>
      <c r="E8" s="26">
        <v>-392</v>
      </c>
      <c r="F8" s="26">
        <v>1719.1</v>
      </c>
      <c r="G8" s="26">
        <v>-255.9</v>
      </c>
      <c r="H8" s="26">
        <v>-5952.6</v>
      </c>
      <c r="I8" s="26">
        <f>F8+E8</f>
        <v>1327.1</v>
      </c>
      <c r="J8" s="26"/>
      <c r="K8" s="26">
        <f>-H8+K7</f>
        <v>5217.3</v>
      </c>
    </row>
    <row r="9" ht="20.05" customHeight="1">
      <c r="B9" s="14"/>
      <c r="C9" s="31">
        <v>1092.9</v>
      </c>
      <c r="D9" s="26">
        <v>459</v>
      </c>
      <c r="E9" s="26">
        <v>-353</v>
      </c>
      <c r="F9" s="26">
        <v>1248.4</v>
      </c>
      <c r="G9" s="26">
        <v>-203.7</v>
      </c>
      <c r="H9" s="26">
        <v>-1136.8</v>
      </c>
      <c r="I9" s="26">
        <f>F9+E9</f>
        <v>895.4</v>
      </c>
      <c r="J9" s="26"/>
      <c r="K9" s="26">
        <f>-H9+K8</f>
        <v>6354.1</v>
      </c>
    </row>
    <row r="10" ht="20.05" customHeight="1">
      <c r="B10" s="14"/>
      <c r="C10" s="31">
        <v>1275.4</v>
      </c>
      <c r="D10" s="26">
        <v>191.8</v>
      </c>
      <c r="E10" s="26">
        <v>-405</v>
      </c>
      <c r="F10" s="26">
        <v>2251.1</v>
      </c>
      <c r="G10" s="26">
        <v>-351.1</v>
      </c>
      <c r="H10" s="26">
        <v>-2775.7</v>
      </c>
      <c r="I10" s="26">
        <f>F10+E10</f>
        <v>1846.1</v>
      </c>
      <c r="J10" s="26"/>
      <c r="K10" s="26">
        <f>-H10+K9</f>
        <v>9129.799999999999</v>
      </c>
    </row>
    <row r="11" ht="20.05" customHeight="1">
      <c r="B11" s="14"/>
      <c r="C11" s="31">
        <f>4686.5-SUM(C8:C10)</f>
        <v>1219.6</v>
      </c>
      <c r="D11" s="26">
        <v>152</v>
      </c>
      <c r="E11" s="26">
        <v>-671</v>
      </c>
      <c r="F11" s="26">
        <f>6059.6-SUM(F8:F10)</f>
        <v>841</v>
      </c>
      <c r="G11" s="26">
        <f>-981.6-SUM(G8:G10)</f>
        <v>-170.9</v>
      </c>
      <c r="H11" s="26">
        <f>-11262.4-SUM(H8:H10)</f>
        <v>-1397.3</v>
      </c>
      <c r="I11" s="26">
        <f>F11+E11</f>
        <v>170</v>
      </c>
      <c r="J11" s="26"/>
      <c r="K11" s="26">
        <f>-H11+K10</f>
        <v>10527.1</v>
      </c>
    </row>
    <row r="12" ht="20.05" customHeight="1">
      <c r="B12" s="18">
        <v>2017</v>
      </c>
      <c r="C12" s="31">
        <v>1214.8</v>
      </c>
      <c r="D12" s="26">
        <v>321.2</v>
      </c>
      <c r="E12" s="26">
        <v>-428</v>
      </c>
      <c r="F12" s="26">
        <v>1544</v>
      </c>
      <c r="G12" s="26">
        <v>138.1</v>
      </c>
      <c r="H12" s="26">
        <v>-587.2</v>
      </c>
      <c r="I12" s="26">
        <f>F12+E12</f>
        <v>1116</v>
      </c>
      <c r="J12" s="26"/>
      <c r="K12" s="26">
        <f>-H12+K11</f>
        <v>11114.3</v>
      </c>
    </row>
    <row r="13" ht="20.05" customHeight="1">
      <c r="B13" s="14"/>
      <c r="C13" s="31">
        <v>1395.1</v>
      </c>
      <c r="D13" s="26">
        <v>349.4</v>
      </c>
      <c r="E13" s="26">
        <v>-369</v>
      </c>
      <c r="F13" s="26">
        <v>1213.4</v>
      </c>
      <c r="G13" s="26">
        <v>-146.8</v>
      </c>
      <c r="H13" s="26">
        <v>-1166.5</v>
      </c>
      <c r="I13" s="26">
        <f>F13+E13</f>
        <v>844.4</v>
      </c>
      <c r="J13" s="26"/>
      <c r="K13" s="26">
        <f>-H13+K12</f>
        <v>12280.8</v>
      </c>
    </row>
    <row r="14" ht="20.05" customHeight="1">
      <c r="B14" s="14"/>
      <c r="C14" s="31">
        <v>1883.7</v>
      </c>
      <c r="D14" s="26">
        <v>-323.9</v>
      </c>
      <c r="E14" s="26">
        <v>-407</v>
      </c>
      <c r="F14" s="26">
        <v>1684.5</v>
      </c>
      <c r="G14" s="26">
        <v>1174.7</v>
      </c>
      <c r="H14" s="26">
        <v>-2810</v>
      </c>
      <c r="I14" s="26">
        <f>F14+E14</f>
        <v>1277.5</v>
      </c>
      <c r="J14" s="26"/>
      <c r="K14" s="26">
        <f>-H14+K13</f>
        <v>15090.8</v>
      </c>
    </row>
    <row r="15" ht="20.05" customHeight="1">
      <c r="B15" s="14"/>
      <c r="C15" s="31">
        <f>5192.3-SUM(C12:C14)</f>
        <v>698.7</v>
      </c>
      <c r="D15" s="26">
        <v>992.7</v>
      </c>
      <c r="E15" s="26">
        <v>-650</v>
      </c>
      <c r="F15" s="26">
        <f>5551.2-SUM(F12:F14)</f>
        <v>1109.3</v>
      </c>
      <c r="G15" s="26">
        <f>562-SUM(G12:G14)</f>
        <v>-604</v>
      </c>
      <c r="H15" s="26">
        <f>-5310.8-SUM(H12:H14)</f>
        <v>-747.1</v>
      </c>
      <c r="I15" s="26">
        <f>F15+E15</f>
        <v>459.3</v>
      </c>
      <c r="J15" s="26"/>
      <c r="K15" s="26">
        <f>-H15+K14</f>
        <v>15837.9</v>
      </c>
    </row>
    <row r="16" ht="20.05" customHeight="1">
      <c r="B16" s="18">
        <v>2018</v>
      </c>
      <c r="C16" s="31">
        <v>1375.4</v>
      </c>
      <c r="D16" s="26">
        <v>377</v>
      </c>
      <c r="E16" s="26">
        <v>-553</v>
      </c>
      <c r="F16" s="26">
        <v>1645.2</v>
      </c>
      <c r="G16" s="26">
        <v>-359.1</v>
      </c>
      <c r="H16" s="26">
        <v>-1306.2</v>
      </c>
      <c r="I16" s="26">
        <f>F16+E16</f>
        <v>1092.2</v>
      </c>
      <c r="J16" s="26"/>
      <c r="K16" s="26">
        <f>-H16+K15</f>
        <v>17144.1</v>
      </c>
    </row>
    <row r="17" ht="20.05" customHeight="1">
      <c r="B17" s="14"/>
      <c r="C17" s="31">
        <v>1496.3</v>
      </c>
      <c r="D17" s="26">
        <v>352.6</v>
      </c>
      <c r="E17" s="26">
        <v>-611</v>
      </c>
      <c r="F17" s="26">
        <v>1338.8</v>
      </c>
      <c r="G17" s="26">
        <v>-490.8</v>
      </c>
      <c r="H17" s="26">
        <v>-1564.2</v>
      </c>
      <c r="I17" s="26">
        <f>F17+E17</f>
        <v>727.8</v>
      </c>
      <c r="J17" s="26"/>
      <c r="K17" s="26">
        <f>-H17+K16</f>
        <v>18708.3</v>
      </c>
    </row>
    <row r="18" ht="20.05" customHeight="1">
      <c r="B18" s="14"/>
      <c r="C18" s="31">
        <v>1637.3</v>
      </c>
      <c r="D18" s="26">
        <v>389.5</v>
      </c>
      <c r="E18" s="26">
        <v>-704</v>
      </c>
      <c r="F18" s="26">
        <v>2471.1</v>
      </c>
      <c r="G18" s="26">
        <v>-721.3</v>
      </c>
      <c r="H18" s="26">
        <v>-768</v>
      </c>
      <c r="I18" s="26">
        <f>F18+E18</f>
        <v>1767.1</v>
      </c>
      <c r="J18" s="26"/>
      <c r="K18" s="26">
        <f>-H18+K17</f>
        <v>19476.3</v>
      </c>
    </row>
    <row r="19" ht="20.05" customHeight="1">
      <c r="B19" s="14"/>
      <c r="C19" s="31">
        <f>5924.3-SUM(C16:C18)</f>
        <v>1415.3</v>
      </c>
      <c r="D19" s="26">
        <v>396</v>
      </c>
      <c r="E19" s="26">
        <v>-874</v>
      </c>
      <c r="F19" s="26">
        <f>6966.7-SUM(F16:F18)</f>
        <v>1511.6</v>
      </c>
      <c r="G19" s="26">
        <f>-2455.1-SUM(G16:G18)</f>
        <v>-883.9</v>
      </c>
      <c r="H19" s="26">
        <f>-5949.6-SUM(H16:H18)</f>
        <v>-2311.2</v>
      </c>
      <c r="I19" s="26">
        <f>F19+E19</f>
        <v>637.6</v>
      </c>
      <c r="J19" s="26"/>
      <c r="K19" s="26">
        <f>-H19+K18</f>
        <v>21787.5</v>
      </c>
    </row>
    <row r="20" ht="20.05" customHeight="1">
      <c r="B20" s="18">
        <v>2019</v>
      </c>
      <c r="C20" s="31">
        <v>1328.4</v>
      </c>
      <c r="D20" s="26">
        <v>530</v>
      </c>
      <c r="E20" s="26">
        <v>-515</v>
      </c>
      <c r="F20" s="26">
        <v>2020.6</v>
      </c>
      <c r="G20" s="26">
        <v>-771.3</v>
      </c>
      <c r="H20" s="26">
        <v>220.7</v>
      </c>
      <c r="I20" s="26">
        <f>F20+E20</f>
        <v>1505.6</v>
      </c>
      <c r="J20" s="26"/>
      <c r="K20" s="26">
        <f>-H20+K19</f>
        <v>21566.8</v>
      </c>
    </row>
    <row r="21" ht="20.05" customHeight="1">
      <c r="B21" s="14"/>
      <c r="C21" s="31">
        <v>1516.9</v>
      </c>
      <c r="D21" s="26">
        <v>500.1</v>
      </c>
      <c r="E21" s="26">
        <v>-598</v>
      </c>
      <c r="F21" s="26">
        <v>1925.5</v>
      </c>
      <c r="G21" s="26">
        <v>-900</v>
      </c>
      <c r="H21" s="26">
        <v>-2196.1</v>
      </c>
      <c r="I21" s="26">
        <f>F21+E21</f>
        <v>1327.5</v>
      </c>
      <c r="J21" s="26"/>
      <c r="K21" s="26">
        <f>-H21+K20</f>
        <v>23762.9</v>
      </c>
    </row>
    <row r="22" ht="20.05" customHeight="1">
      <c r="B22" s="14"/>
      <c r="C22" s="31">
        <v>1607.9</v>
      </c>
      <c r="D22" s="26">
        <v>457.3</v>
      </c>
      <c r="E22" s="26">
        <v>-545</v>
      </c>
      <c r="F22" s="26">
        <v>2286.7</v>
      </c>
      <c r="G22" s="26">
        <v>-592.8</v>
      </c>
      <c r="H22" s="26">
        <v>-1577.6</v>
      </c>
      <c r="I22" s="26">
        <f>F22+E22</f>
        <v>1741.7</v>
      </c>
      <c r="J22" s="26"/>
      <c r="K22" s="26">
        <f>-H22+K21</f>
        <v>25340.5</v>
      </c>
    </row>
    <row r="23" ht="20.05" customHeight="1">
      <c r="B23" s="14"/>
      <c r="C23" s="31">
        <f>6025.4-SUM(C20:C22)</f>
        <v>1572.2</v>
      </c>
      <c r="D23" s="26">
        <v>310.8</v>
      </c>
      <c r="E23" s="26">
        <v>-736</v>
      </c>
      <c r="F23" s="26">
        <f>8122.1-SUM(F20:F22)</f>
        <v>1889.3</v>
      </c>
      <c r="G23" s="26">
        <f>-3071.1-SUM(G20:G22)</f>
        <v>-807</v>
      </c>
      <c r="H23" s="26">
        <f>-4994.8-SUM(H20:H22)</f>
        <v>-1441.8</v>
      </c>
      <c r="I23" s="26">
        <f>F23+E23</f>
        <v>1153.3</v>
      </c>
      <c r="J23" s="26"/>
      <c r="K23" s="26">
        <f>-H23+K22</f>
        <v>26782.3</v>
      </c>
    </row>
    <row r="24" ht="20.05" customHeight="1">
      <c r="B24" s="18">
        <v>2020</v>
      </c>
      <c r="C24" s="31">
        <v>1106.9</v>
      </c>
      <c r="D24" s="26">
        <v>635.7</v>
      </c>
      <c r="E24" s="26">
        <v>-483</v>
      </c>
      <c r="F24" s="26">
        <v>1546</v>
      </c>
      <c r="G24" s="26">
        <v>-518.4</v>
      </c>
      <c r="H24" s="26">
        <v>3533</v>
      </c>
      <c r="I24" s="26">
        <f>F24+E24</f>
        <v>1063</v>
      </c>
      <c r="J24" s="26"/>
      <c r="K24" s="26">
        <f>-H24+K23</f>
        <v>23249.3</v>
      </c>
    </row>
    <row r="25" ht="20.05" customHeight="1">
      <c r="B25" s="14"/>
      <c r="C25" s="31">
        <v>483.8</v>
      </c>
      <c r="D25" s="26">
        <v>533.6</v>
      </c>
      <c r="E25" s="26">
        <v>-305</v>
      </c>
      <c r="F25" s="26">
        <v>-213.1</v>
      </c>
      <c r="G25" s="26">
        <v>-396.6</v>
      </c>
      <c r="H25" s="26">
        <v>-1577.9</v>
      </c>
      <c r="I25" s="26">
        <f>F25+E25</f>
        <v>-518.1</v>
      </c>
      <c r="J25" s="26"/>
      <c r="K25" s="26">
        <f>-H25+K24</f>
        <v>24827.2</v>
      </c>
    </row>
    <row r="26" ht="20.05" customHeight="1">
      <c r="B26" s="14"/>
      <c r="C26" s="31">
        <v>1763</v>
      </c>
      <c r="D26" s="26">
        <v>353</v>
      </c>
      <c r="E26" s="26">
        <v>-390</v>
      </c>
      <c r="F26" s="26">
        <v>2940</v>
      </c>
      <c r="G26" s="26">
        <v>-268</v>
      </c>
      <c r="H26" s="26">
        <v>-2269</v>
      </c>
      <c r="I26" s="26">
        <f>F26+E26</f>
        <v>2550</v>
      </c>
      <c r="J26" s="26"/>
      <c r="K26" s="26">
        <f>-H26+K25</f>
        <v>27096.2</v>
      </c>
    </row>
    <row r="27" ht="20.05" customHeight="1">
      <c r="B27" s="14"/>
      <c r="C27" s="31">
        <v>1377.3</v>
      </c>
      <c r="D27" s="26">
        <v>224.7</v>
      </c>
      <c r="E27" s="26">
        <v>-463</v>
      </c>
      <c r="F27" s="26">
        <v>1992.1</v>
      </c>
      <c r="G27" s="26">
        <v>-363</v>
      </c>
      <c r="H27" s="26">
        <v>-1935.1</v>
      </c>
      <c r="I27" s="26">
        <f>F27+E27</f>
        <v>1529.1</v>
      </c>
      <c r="J27" s="26">
        <f>AVERAGE(I24:I27)</f>
        <v>1156</v>
      </c>
      <c r="K27" s="26">
        <f>-H27+K26</f>
        <v>29031.3</v>
      </c>
    </row>
    <row r="28" ht="20.05" customHeight="1">
      <c r="B28" s="14"/>
      <c r="C28" s="31"/>
      <c r="D28" s="26"/>
      <c r="E28" s="26"/>
      <c r="F28" s="26"/>
      <c r="G28" s="26"/>
      <c r="H28" s="26">
        <f>SUM('Model - Financial model'!C11:F11)</f>
        <v>-6277.679670822350</v>
      </c>
      <c r="I28" s="26"/>
      <c r="J28" s="26">
        <f>SUM('Model - Financial model'!C9:F10)/4</f>
        <v>1569.419917705590</v>
      </c>
      <c r="K28" s="26">
        <f>-H28+K27</f>
        <v>35308.9796708224</v>
      </c>
    </row>
  </sheetData>
  <mergeCells count="1">
    <mergeCell ref="B2:K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B3:K2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12.0391" style="32" customWidth="1"/>
    <col min="2" max="2" width="9.75" style="32" customWidth="1"/>
    <col min="3" max="11" width="10.7422" style="32" customWidth="1"/>
    <col min="12" max="16384" width="16.3516" style="32" customWidth="1"/>
  </cols>
  <sheetData>
    <row r="1" ht="38.45" customHeight="1"/>
    <row r="2" ht="27.65" customHeight="1">
      <c r="B2" t="s" s="7">
        <v>24</v>
      </c>
      <c r="C2" s="7"/>
      <c r="D2" s="7"/>
      <c r="E2" s="7"/>
      <c r="F2" s="7"/>
      <c r="G2" s="7"/>
      <c r="H2" s="7"/>
      <c r="I2" s="7"/>
      <c r="J2" s="7"/>
      <c r="K2" s="7"/>
    </row>
    <row r="3" ht="32.25" customHeight="1">
      <c r="B3" t="s" s="8">
        <v>7</v>
      </c>
      <c r="C3" t="s" s="8">
        <v>26</v>
      </c>
      <c r="D3" t="s" s="8">
        <v>27</v>
      </c>
      <c r="E3" t="s" s="8">
        <v>28</v>
      </c>
      <c r="F3" t="s" s="8">
        <v>29</v>
      </c>
      <c r="G3" t="s" s="8">
        <v>30</v>
      </c>
      <c r="H3" t="s" s="8">
        <v>31</v>
      </c>
      <c r="I3" t="s" s="8">
        <v>32</v>
      </c>
      <c r="J3" t="s" s="8">
        <v>33</v>
      </c>
      <c r="K3" t="s" s="8">
        <v>9</v>
      </c>
    </row>
    <row r="4" ht="20.25" customHeight="1">
      <c r="B4" s="10">
        <v>2015</v>
      </c>
      <c r="C4" s="33">
        <v>1634.8</v>
      </c>
      <c r="D4" s="30">
        <v>32155.6</v>
      </c>
      <c r="E4" s="30">
        <f>D4-C4</f>
        <v>30520.8</v>
      </c>
      <c r="F4" s="30">
        <f>'Cashflow  - Quarterly Cashflow'!D4</f>
        <v>661.5</v>
      </c>
      <c r="G4" s="30">
        <v>20752.3</v>
      </c>
      <c r="H4" s="30">
        <v>11403.3</v>
      </c>
      <c r="I4" s="30">
        <f>G4+H4-C4-E4</f>
        <v>0</v>
      </c>
      <c r="J4" s="30">
        <f>C4-G4</f>
        <v>-19117.5</v>
      </c>
      <c r="K4" s="30"/>
    </row>
    <row r="5" ht="20.05" customHeight="1">
      <c r="B5" s="14"/>
      <c r="C5" s="34">
        <v>3998.5</v>
      </c>
      <c r="D5" s="26">
        <v>34947.9</v>
      </c>
      <c r="E5" s="26">
        <f>D5-C5</f>
        <v>30949.4</v>
      </c>
      <c r="F5" s="26">
        <f>F4+'Cashflow  - Quarterly Cashflow'!D5</f>
        <v>1103.4</v>
      </c>
      <c r="G5" s="26">
        <v>24387</v>
      </c>
      <c r="H5" s="26">
        <v>10560.9</v>
      </c>
      <c r="I5" s="26">
        <f>G5+H5-C5-E5</f>
        <v>0</v>
      </c>
      <c r="J5" s="26">
        <f>C5-G5</f>
        <v>-20388.5</v>
      </c>
      <c r="K5" s="26"/>
    </row>
    <row r="6" ht="20.05" customHeight="1">
      <c r="B6" s="14"/>
      <c r="C6" s="34">
        <v>2452.5</v>
      </c>
      <c r="D6" s="26">
        <v>32959.5</v>
      </c>
      <c r="E6" s="26">
        <f>D6-C6</f>
        <v>30507</v>
      </c>
      <c r="F6" s="26">
        <f>F5+'Cashflow  - Quarterly Cashflow'!D6</f>
        <v>1547.2</v>
      </c>
      <c r="G6" s="26">
        <v>24649.7</v>
      </c>
      <c r="H6" s="26">
        <v>8309.799999999999</v>
      </c>
      <c r="I6" s="26">
        <f>G6+H6-C6-E6</f>
        <v>0</v>
      </c>
      <c r="J6" s="26">
        <f>C6-G6</f>
        <v>-22197.2</v>
      </c>
      <c r="K6" s="26"/>
    </row>
    <row r="7" ht="20.05" customHeight="1">
      <c r="B7" s="14"/>
      <c r="C7" s="34">
        <v>7685.5</v>
      </c>
      <c r="D7" s="26">
        <v>37938.7</v>
      </c>
      <c r="E7" s="26">
        <f>D7-C7</f>
        <v>30253.2</v>
      </c>
      <c r="F7" s="26">
        <f>F6+'Cashflow  - Quarterly Cashflow'!D7</f>
        <v>1841.9</v>
      </c>
      <c r="G7" s="26">
        <v>30850.8</v>
      </c>
      <c r="H7" s="26">
        <v>7087.9</v>
      </c>
      <c r="I7" s="26">
        <f>G7+H7-C7-E7</f>
        <v>0</v>
      </c>
      <c r="J7" s="26">
        <f>C7-G7</f>
        <v>-23165.3</v>
      </c>
      <c r="K7" s="26"/>
    </row>
    <row r="8" ht="20.05" customHeight="1">
      <c r="B8" s="18">
        <v>2016</v>
      </c>
      <c r="C8" s="34">
        <v>3310.1</v>
      </c>
      <c r="D8" s="26">
        <v>33795.4</v>
      </c>
      <c r="E8" s="26">
        <f>D8-C8</f>
        <v>30485.3</v>
      </c>
      <c r="F8" s="26">
        <f>F7+'Cashflow  - Quarterly Cashflow'!D8</f>
        <v>2245.2</v>
      </c>
      <c r="G8" s="26">
        <v>29932.4</v>
      </c>
      <c r="H8" s="26">
        <v>3863</v>
      </c>
      <c r="I8" s="26">
        <f>G8+H8-C8-E8</f>
        <v>0</v>
      </c>
      <c r="J8" s="26">
        <f>C8-G8</f>
        <v>-26622.3</v>
      </c>
      <c r="K8" s="26"/>
    </row>
    <row r="9" ht="20.05" customHeight="1">
      <c r="B9" s="14"/>
      <c r="C9" s="34">
        <v>3128</v>
      </c>
      <c r="D9" s="26">
        <v>33146.5</v>
      </c>
      <c r="E9" s="26">
        <f>D9-C9</f>
        <v>30018.5</v>
      </c>
      <c r="F9" s="26">
        <f>F8+'Cashflow  - Quarterly Cashflow'!D9</f>
        <v>2704.2</v>
      </c>
      <c r="G9" s="26">
        <v>32506.5</v>
      </c>
      <c r="H9" s="26">
        <v>640</v>
      </c>
      <c r="I9" s="26">
        <f>G9+H9-C9-E9</f>
        <v>0</v>
      </c>
      <c r="J9" s="26">
        <f>C9-G9</f>
        <v>-29378.5</v>
      </c>
      <c r="K9" s="26"/>
    </row>
    <row r="10" ht="20.05" customHeight="1">
      <c r="B10" s="14"/>
      <c r="C10" s="34">
        <v>2266.7</v>
      </c>
      <c r="D10" s="26">
        <v>32486.9</v>
      </c>
      <c r="E10" s="26">
        <f>D10-C10</f>
        <v>30220.2</v>
      </c>
      <c r="F10" s="26">
        <f>F9+'Cashflow  - Quarterly Cashflow'!D10</f>
        <v>2896</v>
      </c>
      <c r="G10" s="26">
        <v>34111</v>
      </c>
      <c r="H10" s="26">
        <v>-1624.1</v>
      </c>
      <c r="I10" s="26">
        <f>G10+H10-C10-E10</f>
        <v>0</v>
      </c>
      <c r="J10" s="26">
        <f>C10-G10</f>
        <v>-31844.3</v>
      </c>
      <c r="K10" s="26"/>
    </row>
    <row r="11" ht="20.05" customHeight="1">
      <c r="B11" s="14"/>
      <c r="C11" s="34">
        <v>1223.4</v>
      </c>
      <c r="D11" s="26">
        <v>31023.9</v>
      </c>
      <c r="E11" s="26">
        <f>D11-C11</f>
        <v>29800.5</v>
      </c>
      <c r="F11" s="26">
        <f>F10+'Cashflow  - Quarterly Cashflow'!D11</f>
        <v>3048</v>
      </c>
      <c r="G11" s="26">
        <v>33228.2</v>
      </c>
      <c r="H11" s="26">
        <v>-2204.3</v>
      </c>
      <c r="I11" s="26">
        <f>G11+H11-C11-E11</f>
        <v>0</v>
      </c>
      <c r="J11" s="26">
        <f>C11-G11</f>
        <v>-32004.8</v>
      </c>
      <c r="K11" s="26"/>
    </row>
    <row r="12" ht="20.05" customHeight="1">
      <c r="B12" s="18">
        <v>2017</v>
      </c>
      <c r="C12" s="34">
        <v>2412.2</v>
      </c>
      <c r="D12" s="26">
        <v>32120.3</v>
      </c>
      <c r="E12" s="26">
        <f>D12-C12</f>
        <v>29708.1</v>
      </c>
      <c r="F12" s="26">
        <f>F11+'Cashflow  - Quarterly Cashflow'!D12</f>
        <v>3369.2</v>
      </c>
      <c r="G12" s="26">
        <v>34151.1</v>
      </c>
      <c r="H12" s="26">
        <v>-2030.8</v>
      </c>
      <c r="I12" s="26">
        <f>G12+H12-C12-E12</f>
        <v>0</v>
      </c>
      <c r="J12" s="26">
        <f>C12-G12</f>
        <v>-31738.9</v>
      </c>
      <c r="K12" s="26"/>
    </row>
    <row r="13" ht="20.05" customHeight="1">
      <c r="B13" s="14"/>
      <c r="C13" s="34">
        <v>2392.4</v>
      </c>
      <c r="D13" s="26">
        <v>32785.2</v>
      </c>
      <c r="E13" s="26">
        <f>D13-C13</f>
        <v>30392.8</v>
      </c>
      <c r="F13" s="26">
        <f>F12+'Cashflow  - Quarterly Cashflow'!D13</f>
        <v>3718.6</v>
      </c>
      <c r="G13" s="26">
        <v>34785.8</v>
      </c>
      <c r="H13" s="26">
        <v>-2000.6</v>
      </c>
      <c r="I13" s="26">
        <f>G13+H13-C13-E13</f>
        <v>0</v>
      </c>
      <c r="J13" s="26">
        <f>C13-G13</f>
        <v>-32393.4</v>
      </c>
      <c r="K13" s="26"/>
    </row>
    <row r="14" ht="20.05" customHeight="1">
      <c r="B14" s="14"/>
      <c r="C14" s="34">
        <v>2671.2</v>
      </c>
      <c r="D14" s="26">
        <v>32559.6</v>
      </c>
      <c r="E14" s="26">
        <f>D14-C14</f>
        <v>29888.4</v>
      </c>
      <c r="F14" s="26">
        <f>F13+'Cashflow  - Quarterly Cashflow'!D14</f>
        <v>3394.7</v>
      </c>
      <c r="G14" s="26">
        <v>36037.2</v>
      </c>
      <c r="H14" s="26">
        <v>-3477.6</v>
      </c>
      <c r="I14" s="26">
        <f>G14+H14-C14-E14</f>
        <v>0</v>
      </c>
      <c r="J14" s="26">
        <f>C14-G14</f>
        <v>-33366</v>
      </c>
      <c r="K14" s="26"/>
    </row>
    <row r="15" ht="20.05" customHeight="1">
      <c r="B15" s="14"/>
      <c r="C15" s="34">
        <v>2463.8</v>
      </c>
      <c r="D15" s="26">
        <v>33803.7</v>
      </c>
      <c r="E15" s="26">
        <f>D15-C15</f>
        <v>31339.9</v>
      </c>
      <c r="F15" s="26">
        <f>F14+'Cashflow  - Quarterly Cashflow'!D15</f>
        <v>4387.4</v>
      </c>
      <c r="G15" s="26">
        <v>37071.7</v>
      </c>
      <c r="H15" s="26">
        <v>-3268</v>
      </c>
      <c r="I15" s="26">
        <f>G15+H15-C15-E15</f>
        <v>0</v>
      </c>
      <c r="J15" s="26">
        <f>C15-G15</f>
        <v>-34607.9</v>
      </c>
      <c r="K15" s="26"/>
    </row>
    <row r="16" ht="20.05" customHeight="1">
      <c r="B16" s="18">
        <v>2018</v>
      </c>
      <c r="C16" s="34">
        <v>2468</v>
      </c>
      <c r="D16" s="26">
        <v>33722.9</v>
      </c>
      <c r="E16" s="26">
        <f>D16-C16</f>
        <v>31254.9</v>
      </c>
      <c r="F16" s="26">
        <f>F15+'Cashflow  - Quarterly Cashflow'!D16</f>
        <v>4764.4</v>
      </c>
      <c r="G16" s="26">
        <v>38441.7</v>
      </c>
      <c r="H16" s="26">
        <v>-4718.8</v>
      </c>
      <c r="I16" s="26">
        <f>G16+H16-C16-E16</f>
        <v>0</v>
      </c>
      <c r="J16" s="26">
        <f>C16-G16</f>
        <v>-35973.7</v>
      </c>
      <c r="K16" s="26"/>
    </row>
    <row r="17" ht="20.05" customHeight="1">
      <c r="B17" s="14"/>
      <c r="C17" s="34">
        <v>1623.5</v>
      </c>
      <c r="D17" s="26">
        <v>32708.4</v>
      </c>
      <c r="E17" s="26">
        <f>D17-C17</f>
        <v>31084.9</v>
      </c>
      <c r="F17" s="26">
        <f>F16+'Cashflow  - Quarterly Cashflow'!D17</f>
        <v>5117</v>
      </c>
      <c r="G17" s="26">
        <v>38559.4</v>
      </c>
      <c r="H17" s="26">
        <v>-5851</v>
      </c>
      <c r="I17" s="26">
        <f>G17+H17-C17-E17</f>
        <v>0</v>
      </c>
      <c r="J17" s="26">
        <f>C17-G17</f>
        <v>-36935.9</v>
      </c>
      <c r="K17" s="26"/>
    </row>
    <row r="18" ht="20.05" customHeight="1">
      <c r="B18" s="14"/>
      <c r="C18" s="31">
        <v>2574.5</v>
      </c>
      <c r="D18" s="26">
        <v>34053.7</v>
      </c>
      <c r="E18" s="26">
        <f>D18-C18</f>
        <v>31479.2</v>
      </c>
      <c r="F18" s="26">
        <f>F17+'Cashflow  - Quarterly Cashflow'!D18</f>
        <v>5506.5</v>
      </c>
      <c r="G18" s="26">
        <v>40846.3</v>
      </c>
      <c r="H18" s="26">
        <v>-6792.6</v>
      </c>
      <c r="I18" s="26">
        <f>G18+H18-C18-E18</f>
        <v>0</v>
      </c>
      <c r="J18" s="26">
        <f>C18-G18</f>
        <v>-38271.8</v>
      </c>
      <c r="K18" s="26"/>
    </row>
    <row r="19" ht="20.05" customHeight="1">
      <c r="B19" s="14"/>
      <c r="C19" s="31">
        <v>866</v>
      </c>
      <c r="D19" s="26">
        <v>32811.2</v>
      </c>
      <c r="E19" s="26">
        <f>D19-C19</f>
        <v>31945.2</v>
      </c>
      <c r="F19" s="26">
        <f>F18+'Cashflow  - Quarterly Cashflow'!D19</f>
        <v>5902.5</v>
      </c>
      <c r="G19" s="26">
        <v>39069.6</v>
      </c>
      <c r="H19" s="26">
        <v>-6258.4</v>
      </c>
      <c r="I19" s="26">
        <f>G19+H19-C19-E19</f>
        <v>0</v>
      </c>
      <c r="J19" s="26">
        <f>C19-G19</f>
        <v>-38203.6</v>
      </c>
      <c r="K19" s="26"/>
    </row>
    <row r="20" ht="20.05" customHeight="1">
      <c r="B20" s="18">
        <v>2019</v>
      </c>
      <c r="C20" s="31">
        <v>2289.1</v>
      </c>
      <c r="D20" s="26">
        <v>46466.6</v>
      </c>
      <c r="E20" s="26">
        <f>D20-C20</f>
        <v>44177.5</v>
      </c>
      <c r="F20" s="26">
        <f>F19+'Cashflow  - Quarterly Cashflow'!D20</f>
        <v>6432.5</v>
      </c>
      <c r="G20" s="26">
        <v>53017.5</v>
      </c>
      <c r="H20" s="26">
        <v>-6550.9</v>
      </c>
      <c r="I20" s="26">
        <f>G20+H20-C20-E20</f>
        <v>0</v>
      </c>
      <c r="J20" s="26">
        <f>C20-G20</f>
        <v>-50728.4</v>
      </c>
      <c r="K20" s="26"/>
    </row>
    <row r="21" ht="20.05" customHeight="1">
      <c r="B21" s="14"/>
      <c r="C21" s="31">
        <v>1134.5</v>
      </c>
      <c r="D21" s="26">
        <v>46199.8</v>
      </c>
      <c r="E21" s="26">
        <f>D21-C21</f>
        <v>45065.3</v>
      </c>
      <c r="F21" s="26">
        <f>F20+'Cashflow  - Quarterly Cashflow'!D21</f>
        <v>6932.6</v>
      </c>
      <c r="G21" s="26">
        <v>53008.6</v>
      </c>
      <c r="H21" s="26">
        <v>-6808.8</v>
      </c>
      <c r="I21" s="26">
        <f>G21+H21-C21-E21</f>
        <v>0</v>
      </c>
      <c r="J21" s="26">
        <f>C21-G21</f>
        <v>-51874.1</v>
      </c>
      <c r="K21" s="26"/>
    </row>
    <row r="22" ht="20.05" customHeight="1">
      <c r="B22" s="14"/>
      <c r="C22" s="31">
        <v>1177.3</v>
      </c>
      <c r="D22" s="26">
        <v>45805</v>
      </c>
      <c r="E22" s="26">
        <f>D22-C22</f>
        <v>44627.7</v>
      </c>
      <c r="F22" s="26">
        <f>F21+'Cashflow  - Quarterly Cashflow'!D22</f>
        <v>7389.9</v>
      </c>
      <c r="G22" s="26">
        <v>54404.2</v>
      </c>
      <c r="H22" s="26">
        <v>-8599.200000000001</v>
      </c>
      <c r="I22" s="26">
        <f>G22+H22-C22-E22</f>
        <v>0</v>
      </c>
      <c r="J22" s="26">
        <f>C22-G22</f>
        <v>-53226.9</v>
      </c>
      <c r="K22" s="26"/>
    </row>
    <row r="23" ht="20.05" customHeight="1">
      <c r="B23" s="14"/>
      <c r="C23" s="31">
        <v>898.5</v>
      </c>
      <c r="D23" s="26">
        <v>47510.8</v>
      </c>
      <c r="E23" s="26">
        <f>D23-C23</f>
        <v>46612.3</v>
      </c>
      <c r="F23" s="26">
        <f>F22+'Cashflow  - Quarterly Cashflow'!D23</f>
        <v>7700.7</v>
      </c>
      <c r="G23" s="26">
        <v>55721.1</v>
      </c>
      <c r="H23" s="26">
        <v>-8210.299999999999</v>
      </c>
      <c r="I23" s="26">
        <f>G23+H23-C23-E23</f>
        <v>0</v>
      </c>
      <c r="J23" s="26">
        <f>C23-G23</f>
        <v>-54822.6</v>
      </c>
      <c r="K23" s="26"/>
    </row>
    <row r="24" ht="20.05" customHeight="1">
      <c r="B24" s="18">
        <v>2020</v>
      </c>
      <c r="C24" s="31">
        <v>5379.8</v>
      </c>
      <c r="D24" s="26">
        <v>50568</v>
      </c>
      <c r="E24" s="26">
        <f>D24-C24</f>
        <v>45188.2</v>
      </c>
      <c r="F24" s="26">
        <f>F23+'Cashflow  - Quarterly Cashflow'!D24</f>
        <v>8336.4</v>
      </c>
      <c r="G24" s="26">
        <v>59861.4</v>
      </c>
      <c r="H24" s="26">
        <v>-9293.4</v>
      </c>
      <c r="I24" s="26">
        <f>G24+H24-C24-E24</f>
        <v>0</v>
      </c>
      <c r="J24" s="26">
        <f>C24-G24</f>
        <v>-54481.6</v>
      </c>
      <c r="K24" s="26"/>
    </row>
    <row r="25" ht="20.05" customHeight="1">
      <c r="B25" s="14"/>
      <c r="C25" s="31">
        <v>3255.7</v>
      </c>
      <c r="D25" s="26">
        <v>49938.9</v>
      </c>
      <c r="E25" s="26">
        <f>D25-C25</f>
        <v>46683.2</v>
      </c>
      <c r="F25" s="26">
        <f>F24+'Cashflow  - Quarterly Cashflow'!D25</f>
        <v>8870</v>
      </c>
      <c r="G25" s="26">
        <v>59402</v>
      </c>
      <c r="H25" s="26">
        <v>-9463.1</v>
      </c>
      <c r="I25" s="26">
        <f>G25+H25-C25-E25</f>
        <v>0</v>
      </c>
      <c r="J25" s="26">
        <f>C25-G25</f>
        <v>-56146.3</v>
      </c>
      <c r="K25" s="26"/>
    </row>
    <row r="26" ht="20.05" customHeight="1">
      <c r="B26" s="14"/>
      <c r="C26" s="31">
        <v>3684</v>
      </c>
      <c r="D26" s="26">
        <v>50699</v>
      </c>
      <c r="E26" s="26">
        <f>D26-C26</f>
        <v>47015</v>
      </c>
      <c r="F26" s="26">
        <f>F25+'Cashflow  - Quarterly Cashflow'!D26</f>
        <v>9223</v>
      </c>
      <c r="G26" s="26">
        <v>59171</v>
      </c>
      <c r="H26" s="26">
        <v>-8472</v>
      </c>
      <c r="I26" s="26">
        <f>G26+H26-C26-E26</f>
        <v>0</v>
      </c>
      <c r="J26" s="26">
        <f>C26-G26</f>
        <v>-55487</v>
      </c>
      <c r="K26" s="26"/>
    </row>
    <row r="27" ht="20.05" customHeight="1">
      <c r="B27" s="14"/>
      <c r="C27" s="31">
        <v>3449</v>
      </c>
      <c r="D27" s="26">
        <v>52627</v>
      </c>
      <c r="E27" s="26">
        <f>D27-C27</f>
        <v>49178</v>
      </c>
      <c r="F27" s="26">
        <f>F26+'Cashflow  - Quarterly Cashflow'!D27</f>
        <v>9447.700000000001</v>
      </c>
      <c r="G27" s="26">
        <v>60452</v>
      </c>
      <c r="H27" s="26">
        <v>-7825</v>
      </c>
      <c r="I27" s="26">
        <f>G27+H27-C27-E27</f>
        <v>0</v>
      </c>
      <c r="J27" s="26">
        <f>C27-G27</f>
        <v>-57003</v>
      </c>
      <c r="K27" s="26">
        <f>J27</f>
        <v>-57003</v>
      </c>
    </row>
    <row r="28" ht="20.05" customHeight="1">
      <c r="B28" s="14"/>
      <c r="C28" s="31"/>
      <c r="D28" s="26"/>
      <c r="E28" s="26"/>
      <c r="F28" s="26"/>
      <c r="G28" s="26"/>
      <c r="H28" s="26"/>
      <c r="I28" s="26"/>
      <c r="J28" s="26"/>
      <c r="K28" s="26">
        <f>'Model - Financial model'!F25-'Model - Financial model'!F29-'Model - Financial model'!F30</f>
        <v>-52831.2842304244</v>
      </c>
    </row>
  </sheetData>
  <mergeCells count="1">
    <mergeCell ref="B2:K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D8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8" style="35" customWidth="1"/>
    <col min="2" max="2" width="12.0781" style="35" customWidth="1"/>
    <col min="3" max="4" width="10.0156" style="35" customWidth="1"/>
    <col min="5" max="16384" width="16.3516" style="35" customWidth="1"/>
  </cols>
  <sheetData>
    <row r="1" ht="27.65" customHeight="1">
      <c r="A1" t="s" s="7">
        <v>35</v>
      </c>
      <c r="B1" s="7"/>
      <c r="C1" s="7"/>
      <c r="D1" s="7"/>
    </row>
    <row r="2" ht="32.25" customHeight="1">
      <c r="A2" s="36"/>
      <c r="B2" t="s" s="8">
        <v>37</v>
      </c>
      <c r="C2" t="s" s="8">
        <v>38</v>
      </c>
      <c r="D2" t="s" s="37">
        <v>39</v>
      </c>
    </row>
    <row r="3" ht="20.25" customHeight="1">
      <c r="A3" s="10">
        <v>2014</v>
      </c>
      <c r="B3" s="38">
        <v>115.94</v>
      </c>
      <c r="C3" s="39">
        <v>94.17</v>
      </c>
      <c r="D3" s="40"/>
    </row>
    <row r="4" ht="20.05" customHeight="1">
      <c r="A4" s="14"/>
      <c r="B4" s="41">
        <v>94.65000000000001</v>
      </c>
      <c r="C4" s="42">
        <v>95.15000000000001</v>
      </c>
      <c r="D4" s="21"/>
    </row>
    <row r="5" ht="20.05" customHeight="1">
      <c r="A5" s="14"/>
      <c r="B5" s="41">
        <v>119.95</v>
      </c>
      <c r="C5" s="42">
        <v>98.03</v>
      </c>
      <c r="D5" s="21"/>
    </row>
    <row r="6" ht="20.05" customHeight="1">
      <c r="A6" s="14"/>
      <c r="B6" s="41">
        <v>114.88</v>
      </c>
      <c r="C6" s="42">
        <v>101.38</v>
      </c>
      <c r="D6" s="21"/>
    </row>
    <row r="7" ht="20.05" customHeight="1">
      <c r="A7" s="14"/>
      <c r="B7" s="41">
        <v>86.54000000000001</v>
      </c>
      <c r="C7" s="42">
        <v>101.43</v>
      </c>
      <c r="D7" s="21"/>
    </row>
    <row r="8" ht="20.05" customHeight="1">
      <c r="A8" s="14"/>
      <c r="B8" s="41">
        <v>87.09999999999999</v>
      </c>
      <c r="C8" s="42">
        <v>100.74</v>
      </c>
      <c r="D8" s="21"/>
    </row>
    <row r="9" ht="20.05" customHeight="1">
      <c r="A9" s="14"/>
      <c r="B9" s="41">
        <v>116.94</v>
      </c>
      <c r="C9" s="42">
        <v>94.56</v>
      </c>
      <c r="D9" s="21"/>
    </row>
    <row r="10" ht="20.05" customHeight="1">
      <c r="A10" s="14"/>
      <c r="B10" s="41">
        <v>103.92</v>
      </c>
      <c r="C10" s="42">
        <v>93.72</v>
      </c>
      <c r="D10" s="21"/>
    </row>
    <row r="11" ht="20.05" customHeight="1">
      <c r="A11" s="14"/>
      <c r="B11" s="41">
        <v>145.88</v>
      </c>
      <c r="C11" s="42">
        <v>94.81</v>
      </c>
      <c r="D11" s="21"/>
    </row>
    <row r="12" ht="20.05" customHeight="1">
      <c r="A12" s="14"/>
      <c r="B12" s="41">
        <v>136.83</v>
      </c>
      <c r="C12" s="42">
        <v>93.73</v>
      </c>
      <c r="D12" s="21"/>
    </row>
    <row r="13" ht="20.05" customHeight="1">
      <c r="A13" s="14"/>
      <c r="B13" s="41">
        <v>89.67</v>
      </c>
      <c r="C13" s="42">
        <v>96.81</v>
      </c>
      <c r="D13" s="21"/>
    </row>
    <row r="14" ht="20.05" customHeight="1">
      <c r="A14" s="14"/>
      <c r="B14" s="41">
        <v>171.5</v>
      </c>
      <c r="C14" s="42">
        <v>93.7</v>
      </c>
      <c r="D14" s="21"/>
    </row>
    <row r="15" ht="20.05" customHeight="1">
      <c r="A15" s="18">
        <v>2015</v>
      </c>
      <c r="B15" s="41">
        <v>152.78</v>
      </c>
      <c r="C15" s="42">
        <v>92.44</v>
      </c>
      <c r="D15" s="21"/>
    </row>
    <row r="16" ht="20.05" customHeight="1">
      <c r="A16" s="14"/>
      <c r="B16" s="41">
        <v>141.33</v>
      </c>
      <c r="C16" s="42">
        <v>98.90000000000001</v>
      </c>
      <c r="D16" s="21"/>
    </row>
    <row r="17" ht="20.05" customHeight="1">
      <c r="A17" s="14"/>
      <c r="B17" s="41">
        <v>164.77</v>
      </c>
      <c r="C17" s="42">
        <v>97.44</v>
      </c>
      <c r="D17" s="21"/>
    </row>
    <row r="18" ht="20.05" customHeight="1">
      <c r="A18" s="14"/>
      <c r="B18" s="41">
        <v>136.32</v>
      </c>
      <c r="C18" s="42">
        <v>96.55</v>
      </c>
      <c r="D18" s="21"/>
    </row>
    <row r="19" ht="20.05" customHeight="1">
      <c r="A19" s="14"/>
      <c r="B19" s="41">
        <v>131.65</v>
      </c>
      <c r="C19" s="42">
        <v>95.93000000000001</v>
      </c>
      <c r="D19" s="21"/>
    </row>
    <row r="20" ht="20.05" customHeight="1">
      <c r="A20" s="14"/>
      <c r="B20" s="41">
        <v>111.35</v>
      </c>
      <c r="C20" s="42">
        <v>95.06999999999999</v>
      </c>
      <c r="D20" s="21"/>
    </row>
    <row r="21" ht="20.05" customHeight="1">
      <c r="A21" s="14"/>
      <c r="B21" s="41">
        <v>124.13</v>
      </c>
      <c r="C21" s="42">
        <v>99.86</v>
      </c>
      <c r="D21" s="21"/>
    </row>
    <row r="22" ht="20.05" customHeight="1">
      <c r="A22" s="14"/>
      <c r="B22" s="41">
        <v>137.6</v>
      </c>
      <c r="C22" s="42">
        <v>95.02</v>
      </c>
      <c r="D22" s="21"/>
    </row>
    <row r="23" ht="20.05" customHeight="1">
      <c r="A23" s="14"/>
      <c r="B23" s="41">
        <v>123.94</v>
      </c>
      <c r="C23" s="42">
        <v>98.53</v>
      </c>
      <c r="D23" s="21"/>
    </row>
    <row r="24" ht="20.05" customHeight="1">
      <c r="A24" s="14"/>
      <c r="B24" s="41">
        <v>170.95</v>
      </c>
      <c r="C24" s="42">
        <v>112.25</v>
      </c>
      <c r="D24" s="21"/>
    </row>
    <row r="25" ht="20.05" customHeight="1">
      <c r="A25" s="14"/>
      <c r="B25" s="41">
        <v>129.82</v>
      </c>
      <c r="C25" s="42">
        <v>114.16</v>
      </c>
      <c r="D25" s="21"/>
    </row>
    <row r="26" ht="20.05" customHeight="1">
      <c r="A26" s="14"/>
      <c r="B26" s="41">
        <v>115.07</v>
      </c>
      <c r="C26" s="42">
        <v>118.14</v>
      </c>
      <c r="D26" s="21"/>
    </row>
    <row r="27" ht="20.05" customHeight="1">
      <c r="A27" s="18">
        <v>2016</v>
      </c>
      <c r="B27" s="41">
        <v>163.7</v>
      </c>
      <c r="C27" s="42">
        <v>123.78</v>
      </c>
      <c r="D27" s="21"/>
    </row>
    <row r="28" ht="20.05" customHeight="1">
      <c r="A28" s="14"/>
      <c r="B28" s="41">
        <v>163.32</v>
      </c>
      <c r="C28" s="42">
        <v>117.19</v>
      </c>
      <c r="D28" s="21"/>
    </row>
    <row r="29" ht="20.05" customHeight="1">
      <c r="A29" s="14"/>
      <c r="B29" s="41">
        <v>138.09</v>
      </c>
      <c r="C29" s="42">
        <v>125.68</v>
      </c>
      <c r="D29" s="21"/>
    </row>
    <row r="30" ht="20.05" customHeight="1">
      <c r="A30" s="14"/>
      <c r="B30" s="41">
        <v>111.37</v>
      </c>
      <c r="C30" s="42">
        <v>126.49</v>
      </c>
      <c r="D30" s="21"/>
    </row>
    <row r="31" ht="20.05" customHeight="1">
      <c r="A31" s="14"/>
      <c r="B31" s="41">
        <v>116.55</v>
      </c>
      <c r="C31" s="42">
        <v>122.06</v>
      </c>
      <c r="D31" s="21"/>
    </row>
    <row r="32" ht="20.05" customHeight="1">
      <c r="A32" s="14"/>
      <c r="B32" s="41">
        <v>123.24</v>
      </c>
      <c r="C32" s="42">
        <v>120.34</v>
      </c>
      <c r="D32" s="21"/>
    </row>
    <row r="33" ht="20.05" customHeight="1">
      <c r="A33" s="14"/>
      <c r="B33" s="41">
        <v>109.9</v>
      </c>
      <c r="C33" s="42">
        <v>117.65</v>
      </c>
      <c r="D33" s="21"/>
    </row>
    <row r="34" ht="20.05" customHeight="1">
      <c r="A34" s="14"/>
      <c r="B34" s="41">
        <v>100.62</v>
      </c>
      <c r="C34" s="42">
        <v>115.66</v>
      </c>
      <c r="D34" s="21"/>
    </row>
    <row r="35" ht="20.05" customHeight="1">
      <c r="A35" s="14"/>
      <c r="B35" s="41">
        <v>91.51000000000001</v>
      </c>
      <c r="C35" s="42">
        <v>115.36</v>
      </c>
      <c r="D35" s="21"/>
    </row>
    <row r="36" ht="20.05" customHeight="1">
      <c r="A36" s="14"/>
      <c r="B36" s="41">
        <v>100.86</v>
      </c>
      <c r="C36" s="42">
        <v>112.57</v>
      </c>
      <c r="D36" s="21"/>
    </row>
    <row r="37" ht="20.05" customHeight="1">
      <c r="A37" s="14"/>
      <c r="B37" s="41">
        <v>89.09</v>
      </c>
      <c r="C37" s="42">
        <v>119.27</v>
      </c>
      <c r="D37" s="21"/>
    </row>
    <row r="38" ht="20.05" customHeight="1">
      <c r="A38" s="14"/>
      <c r="B38" s="41">
        <v>78.63</v>
      </c>
      <c r="C38" s="42">
        <v>121.72</v>
      </c>
      <c r="D38" s="21"/>
    </row>
    <row r="39" ht="20.05" customHeight="1">
      <c r="A39" s="18">
        <v>2017</v>
      </c>
      <c r="B39" s="41">
        <v>76.91</v>
      </c>
      <c r="C39" s="42">
        <v>122.57</v>
      </c>
      <c r="D39" s="21"/>
    </row>
    <row r="40" ht="20.05" customHeight="1">
      <c r="A40" s="14"/>
      <c r="B40" s="41">
        <v>64.27</v>
      </c>
      <c r="C40" s="42">
        <v>127.65</v>
      </c>
      <c r="D40" s="21"/>
    </row>
    <row r="41" ht="20.05" customHeight="1">
      <c r="A41" s="14"/>
      <c r="B41" s="41">
        <v>89.81</v>
      </c>
      <c r="C41" s="42">
        <v>129.61</v>
      </c>
      <c r="D41" s="21"/>
    </row>
    <row r="42" ht="20.05" customHeight="1">
      <c r="A42" s="14"/>
      <c r="B42" s="41">
        <v>77.98</v>
      </c>
      <c r="C42" s="42">
        <v>139.93</v>
      </c>
      <c r="D42" s="21"/>
    </row>
    <row r="43" ht="20.05" customHeight="1">
      <c r="A43" s="14"/>
      <c r="B43" s="41">
        <v>74.95999999999999</v>
      </c>
      <c r="C43" s="42">
        <v>150.89</v>
      </c>
      <c r="D43" s="21"/>
    </row>
    <row r="44" ht="20.05" customHeight="1">
      <c r="A44" s="14"/>
      <c r="B44" s="41">
        <v>70.38</v>
      </c>
      <c r="C44" s="42">
        <v>153.16</v>
      </c>
      <c r="D44" s="21"/>
    </row>
    <row r="45" ht="20.05" customHeight="1">
      <c r="A45" s="14"/>
      <c r="B45" s="41">
        <v>69.34999999999999</v>
      </c>
      <c r="C45" s="42">
        <v>155.14</v>
      </c>
      <c r="D45" s="21"/>
    </row>
    <row r="46" ht="20.05" customHeight="1">
      <c r="A46" s="14"/>
      <c r="B46" s="41">
        <v>66.89</v>
      </c>
      <c r="C46" s="42">
        <v>159.97</v>
      </c>
      <c r="D46" s="21"/>
    </row>
    <row r="47" ht="20.05" customHeight="1">
      <c r="A47" s="14"/>
      <c r="B47" s="41">
        <v>81.73</v>
      </c>
      <c r="C47" s="42">
        <v>156.68</v>
      </c>
      <c r="D47" s="21"/>
    </row>
    <row r="48" ht="20.05" customHeight="1">
      <c r="A48" s="14"/>
      <c r="B48" s="41">
        <v>70.66</v>
      </c>
      <c r="C48" s="42">
        <v>166.91</v>
      </c>
      <c r="D48" s="21"/>
    </row>
    <row r="49" ht="20.05" customHeight="1">
      <c r="A49" s="14"/>
      <c r="B49" s="41">
        <v>58.79</v>
      </c>
      <c r="C49" s="42">
        <v>171.97</v>
      </c>
      <c r="D49" s="21"/>
    </row>
    <row r="50" ht="20.05" customHeight="1">
      <c r="A50" s="14"/>
      <c r="B50" s="41">
        <v>57.15</v>
      </c>
      <c r="C50" s="42">
        <v>172.12</v>
      </c>
      <c r="D50" s="21"/>
    </row>
    <row r="51" ht="20.05" customHeight="1">
      <c r="A51" s="18">
        <v>2018</v>
      </c>
      <c r="B51" s="41">
        <v>79.27</v>
      </c>
      <c r="C51" s="42">
        <v>171.14</v>
      </c>
      <c r="D51" s="21"/>
    </row>
    <row r="52" ht="20.05" customHeight="1">
      <c r="A52" s="14"/>
      <c r="B52" s="41">
        <v>107.47</v>
      </c>
      <c r="C52" s="42">
        <v>157.74</v>
      </c>
      <c r="D52" s="21"/>
    </row>
    <row r="53" ht="20.05" customHeight="1">
      <c r="A53" s="14"/>
      <c r="B53" s="41">
        <v>110.13</v>
      </c>
      <c r="C53" s="42">
        <v>156.38</v>
      </c>
      <c r="D53" s="21"/>
    </row>
    <row r="54" ht="20.05" customHeight="1">
      <c r="A54" s="14"/>
      <c r="B54" s="41">
        <v>89.41</v>
      </c>
      <c r="C54" s="42">
        <v>167.44</v>
      </c>
      <c r="D54" s="21"/>
    </row>
    <row r="55" ht="20.05" customHeight="1">
      <c r="A55" s="14"/>
      <c r="B55" s="41">
        <v>71.23999999999999</v>
      </c>
      <c r="C55" s="42">
        <v>160.01</v>
      </c>
      <c r="D55" s="21"/>
    </row>
    <row r="56" ht="20.05" customHeight="1">
      <c r="A56" s="14"/>
      <c r="B56" s="41">
        <v>94.97</v>
      </c>
      <c r="C56" s="42">
        <v>156.69</v>
      </c>
      <c r="D56" s="21"/>
    </row>
    <row r="57" ht="20.05" customHeight="1">
      <c r="A57" s="14"/>
      <c r="B57" s="41">
        <v>70.67</v>
      </c>
      <c r="C57" s="42">
        <v>157.54</v>
      </c>
      <c r="D57" s="21"/>
    </row>
    <row r="58" ht="20.05" customHeight="1">
      <c r="A58" s="14"/>
      <c r="B58" s="41">
        <v>68.79000000000001</v>
      </c>
      <c r="C58" s="42">
        <v>162.23</v>
      </c>
      <c r="D58" s="21"/>
    </row>
    <row r="59" ht="20.05" customHeight="1">
      <c r="A59" s="14"/>
      <c r="B59" s="41">
        <v>70.75</v>
      </c>
      <c r="C59" s="42">
        <v>167.29</v>
      </c>
      <c r="D59" s="21"/>
    </row>
    <row r="60" ht="20.05" customHeight="1">
      <c r="A60" s="14"/>
      <c r="B60" s="41">
        <v>105.09</v>
      </c>
      <c r="C60" s="42">
        <v>176.9</v>
      </c>
      <c r="D60" s="21"/>
    </row>
    <row r="61" ht="20.05" customHeight="1">
      <c r="A61" s="14"/>
      <c r="B61" s="41">
        <v>77.56</v>
      </c>
      <c r="C61" s="42">
        <v>188.51</v>
      </c>
      <c r="D61" s="21"/>
    </row>
    <row r="62" ht="20.05" customHeight="1">
      <c r="A62" s="14"/>
      <c r="B62" s="41">
        <v>75.8</v>
      </c>
      <c r="C62" s="42">
        <v>177.57</v>
      </c>
      <c r="D62" s="21"/>
    </row>
    <row r="63" ht="20.05" customHeight="1">
      <c r="A63" s="18">
        <v>2019</v>
      </c>
      <c r="B63" s="41">
        <v>80.01000000000001</v>
      </c>
      <c r="C63" s="42">
        <v>178.78</v>
      </c>
      <c r="D63" s="21"/>
    </row>
    <row r="64" ht="20.05" customHeight="1">
      <c r="A64" s="14"/>
      <c r="B64" s="41">
        <v>76.83</v>
      </c>
      <c r="C64" s="42">
        <v>183.84</v>
      </c>
      <c r="D64" s="21"/>
    </row>
    <row r="65" ht="20.05" customHeight="1">
      <c r="A65" s="14"/>
      <c r="B65" s="41">
        <v>63.64</v>
      </c>
      <c r="C65" s="42">
        <v>189.9</v>
      </c>
      <c r="D65" s="21"/>
    </row>
    <row r="66" ht="20.05" customHeight="1">
      <c r="A66" s="14"/>
      <c r="B66" s="41">
        <v>53.51</v>
      </c>
      <c r="C66" s="42">
        <v>197.57</v>
      </c>
      <c r="D66" s="21"/>
    </row>
    <row r="67" ht="20.05" customHeight="1">
      <c r="A67" s="14"/>
      <c r="B67" s="41">
        <v>58.59</v>
      </c>
      <c r="C67" s="42">
        <v>198.27</v>
      </c>
      <c r="D67" s="21"/>
    </row>
    <row r="68" ht="20.05" customHeight="1">
      <c r="A68" s="14"/>
      <c r="B68" s="41">
        <v>63.77</v>
      </c>
      <c r="C68" s="42">
        <v>207.66</v>
      </c>
      <c r="D68" s="21"/>
    </row>
    <row r="69" ht="20.05" customHeight="1">
      <c r="A69" s="14"/>
      <c r="B69" s="41">
        <v>58.78</v>
      </c>
      <c r="C69" s="42">
        <v>210.72</v>
      </c>
      <c r="D69" s="21"/>
    </row>
    <row r="70" ht="20.05" customHeight="1">
      <c r="A70" s="14"/>
      <c r="B70" s="41">
        <v>63.99</v>
      </c>
      <c r="C70" s="42">
        <v>217.97</v>
      </c>
      <c r="D70" s="21"/>
    </row>
    <row r="71" ht="20.05" customHeight="1">
      <c r="A71" s="14"/>
      <c r="B71" s="41">
        <v>64.84999999999999</v>
      </c>
      <c r="C71" s="42">
        <v>214.71</v>
      </c>
      <c r="D71" s="21"/>
    </row>
    <row r="72" ht="20.05" customHeight="1">
      <c r="A72" s="14"/>
      <c r="B72" s="41">
        <v>100.77</v>
      </c>
      <c r="C72" s="42">
        <v>196.7</v>
      </c>
      <c r="D72" s="21"/>
    </row>
    <row r="73" ht="20.05" customHeight="1">
      <c r="A73" s="14"/>
      <c r="B73" s="41">
        <v>92.66</v>
      </c>
      <c r="C73" s="42">
        <v>194.48</v>
      </c>
      <c r="D73" s="21"/>
    </row>
    <row r="74" ht="20.05" customHeight="1">
      <c r="A74" s="14"/>
      <c r="B74" s="41">
        <v>61.41</v>
      </c>
      <c r="C74" s="42">
        <v>197.61</v>
      </c>
      <c r="D74" s="21"/>
    </row>
    <row r="75" ht="20.05" customHeight="1">
      <c r="A75" s="18">
        <v>2020</v>
      </c>
      <c r="B75" s="41">
        <v>77.48999999999999</v>
      </c>
      <c r="C75" s="42">
        <v>213.97</v>
      </c>
      <c r="D75" s="21"/>
    </row>
    <row r="76" ht="20.05" customHeight="1">
      <c r="A76" s="14"/>
      <c r="B76" s="41">
        <v>69.43000000000001</v>
      </c>
      <c r="C76" s="42">
        <v>194.17</v>
      </c>
      <c r="D76" s="21"/>
    </row>
    <row r="77" ht="20.05" customHeight="1">
      <c r="A77" s="14"/>
      <c r="B77" s="41">
        <v>179.64</v>
      </c>
      <c r="C77" s="42">
        <v>165.35</v>
      </c>
      <c r="D77" s="21"/>
    </row>
    <row r="78" ht="20.05" customHeight="1">
      <c r="A78" s="14"/>
      <c r="B78" s="41">
        <v>106.5</v>
      </c>
      <c r="C78" s="42">
        <v>185.89</v>
      </c>
      <c r="D78" s="43"/>
    </row>
    <row r="79" ht="20.05" customHeight="1">
      <c r="A79" s="14"/>
      <c r="B79" s="41">
        <v>80.31</v>
      </c>
      <c r="C79" s="42">
        <v>186.32</v>
      </c>
      <c r="D79" s="43"/>
    </row>
    <row r="80" ht="20.05" customHeight="1">
      <c r="A80" s="14"/>
      <c r="B80" s="41">
        <v>85.7</v>
      </c>
      <c r="C80" s="42">
        <v>184.47</v>
      </c>
      <c r="D80" s="43"/>
    </row>
    <row r="81" ht="20.05" customHeight="1">
      <c r="A81" s="14"/>
      <c r="B81" s="22">
        <v>62.4602</v>
      </c>
      <c r="C81" s="43">
        <v>193.149994</v>
      </c>
      <c r="D81" s="43"/>
    </row>
    <row r="82" ht="20.05" customHeight="1">
      <c r="A82" s="14"/>
      <c r="B82" s="22">
        <v>53.6489</v>
      </c>
      <c r="C82" s="43">
        <v>213.520004</v>
      </c>
      <c r="D82" s="43"/>
    </row>
    <row r="83" ht="20.05" customHeight="1">
      <c r="A83" s="14"/>
      <c r="B83" s="22">
        <v>60.0822</v>
      </c>
      <c r="C83" s="43">
        <v>219.490005</v>
      </c>
      <c r="D83" s="43"/>
    </row>
    <row r="84" ht="20.05" customHeight="1">
      <c r="A84" s="14"/>
      <c r="B84" s="22">
        <v>47.6788</v>
      </c>
      <c r="C84" s="21">
        <v>211.741486</v>
      </c>
      <c r="D84" s="43"/>
    </row>
    <row r="85" ht="20.05" customHeight="1">
      <c r="A85" s="14"/>
      <c r="B85" s="22">
        <v>69.77800000000001</v>
      </c>
      <c r="C85" s="21">
        <v>217.440002</v>
      </c>
      <c r="D85" s="43"/>
    </row>
    <row r="86" ht="20.05" customHeight="1">
      <c r="A86" s="14"/>
      <c r="B86" s="22">
        <v>65.9876</v>
      </c>
      <c r="C86" s="21">
        <v>211.559998</v>
      </c>
      <c r="D86" s="43"/>
    </row>
    <row r="87" ht="20.05" customHeight="1">
      <c r="A87" s="18">
        <v>2021</v>
      </c>
      <c r="B87" s="22">
        <v>63.271376</v>
      </c>
      <c r="C87" s="21">
        <v>206.820007</v>
      </c>
      <c r="D87" s="43">
        <f>C87</f>
        <v>206.820007</v>
      </c>
    </row>
    <row r="88" ht="20.05" customHeight="1">
      <c r="A88" s="14"/>
      <c r="B88" s="22"/>
      <c r="C88" s="21"/>
      <c r="D88" s="43">
        <f>'Valuation  - Valuation'!E10</f>
        <v>263.626081076874</v>
      </c>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B3:F32"/>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6.70312" style="44" customWidth="1"/>
    <col min="2" max="2" width="19.2344" style="44" customWidth="1"/>
    <col min="3" max="6" width="8.42188" style="44" customWidth="1"/>
    <col min="7" max="16384" width="16.3516" style="44" customWidth="1"/>
  </cols>
  <sheetData>
    <row r="1" ht="55.55" customHeight="1"/>
    <row r="2" ht="27.65" customHeight="1">
      <c r="B2" t="s" s="7">
        <v>41</v>
      </c>
      <c r="C2" s="7"/>
      <c r="D2" s="7"/>
      <c r="E2" s="7"/>
      <c r="F2" s="7"/>
    </row>
    <row r="3" ht="20.25" customHeight="1">
      <c r="B3" t="s" s="37">
        <v>7</v>
      </c>
      <c r="C3" t="s" s="8">
        <v>43</v>
      </c>
      <c r="D3" t="s" s="8">
        <v>44</v>
      </c>
      <c r="E3" t="s" s="8">
        <v>45</v>
      </c>
      <c r="F3" t="s" s="37">
        <v>46</v>
      </c>
    </row>
    <row r="4" ht="20.25" customHeight="1">
      <c r="B4" t="s" s="45">
        <v>12</v>
      </c>
      <c r="C4" s="46"/>
      <c r="D4" s="47"/>
      <c r="E4" s="47"/>
      <c r="F4" s="47"/>
    </row>
    <row r="5" ht="20.05" customHeight="1">
      <c r="B5" t="s" s="48">
        <v>47</v>
      </c>
      <c r="C5" s="49">
        <v>0</v>
      </c>
      <c r="D5" s="25">
        <v>0.05</v>
      </c>
      <c r="E5" s="25">
        <v>0.01</v>
      </c>
      <c r="F5" s="25">
        <v>0.05</v>
      </c>
    </row>
    <row r="6" ht="20.05" customHeight="1">
      <c r="B6" t="s" s="48">
        <v>4</v>
      </c>
      <c r="C6" s="22">
        <f>'Sales - Quarterly sales'!C26*(1+C5)</f>
        <v>5418</v>
      </c>
      <c r="D6" s="26">
        <f>C6*(1+D5)</f>
        <v>5688.9</v>
      </c>
      <c r="E6" s="26">
        <f>D6*(1+E5)</f>
        <v>5745.789</v>
      </c>
      <c r="F6" s="26">
        <f>E6*(1+F5)</f>
        <v>6033.07845</v>
      </c>
    </row>
    <row r="7" ht="20.05" customHeight="1">
      <c r="B7" t="s" s="48">
        <v>11</v>
      </c>
      <c r="C7" s="50">
        <f>AVERAGE('Sales - Quarterly sales'!F26:F27)</f>
        <v>-0.653991080346211</v>
      </c>
      <c r="D7" s="23">
        <f>C7</f>
        <v>-0.653991080346211</v>
      </c>
      <c r="E7" s="23">
        <f>D7</f>
        <v>-0.653991080346211</v>
      </c>
      <c r="F7" s="23">
        <f>E7</f>
        <v>-0.653991080346211</v>
      </c>
    </row>
    <row r="8" ht="20.05" customHeight="1">
      <c r="B8" t="s" s="48">
        <v>48</v>
      </c>
      <c r="C8" s="31">
        <f>C6*C7</f>
        <v>-3543.323673315770</v>
      </c>
      <c r="D8" s="26">
        <f>D6*D7</f>
        <v>-3720.489856981560</v>
      </c>
      <c r="E8" s="26">
        <f>E6*E7</f>
        <v>-3757.694755551380</v>
      </c>
      <c r="F8" s="26">
        <f>F6*F7</f>
        <v>-3945.579493328940</v>
      </c>
    </row>
    <row r="9" ht="20.05" customHeight="1">
      <c r="B9" t="s" s="48">
        <v>18</v>
      </c>
      <c r="C9" s="22">
        <f>C6+C8</f>
        <v>1874.676326684230</v>
      </c>
      <c r="D9" s="26">
        <f>D6+D8</f>
        <v>1968.410143018440</v>
      </c>
      <c r="E9" s="26">
        <f>E6+E8</f>
        <v>1988.094244448620</v>
      </c>
      <c r="F9" s="26">
        <f>F6+F8</f>
        <v>2087.498956671060</v>
      </c>
    </row>
    <row r="10" ht="20.05" customHeight="1">
      <c r="B10" t="s" s="48">
        <v>19</v>
      </c>
      <c r="C10" s="31">
        <f>AVERAGE('Cashflow  - Quarterly Cashflow'!E24:E27)</f>
        <v>-410.25</v>
      </c>
      <c r="D10" s="26">
        <f>C10</f>
        <v>-410.25</v>
      </c>
      <c r="E10" s="26">
        <f>D10</f>
        <v>-410.25</v>
      </c>
      <c r="F10" s="26">
        <f>E10</f>
        <v>-410.25</v>
      </c>
    </row>
    <row r="11" ht="20.05" customHeight="1">
      <c r="B11" t="s" s="48">
        <v>20</v>
      </c>
      <c r="C11" s="31">
        <f>C12+C13+C15</f>
        <v>-1464.426326684230</v>
      </c>
      <c r="D11" s="26">
        <f>D12+D13+D15</f>
        <v>-1558.160143018440</v>
      </c>
      <c r="E11" s="26">
        <f>E12+E13+E15</f>
        <v>-1577.844244448620</v>
      </c>
      <c r="F11" s="26">
        <f>F12+F13+F15</f>
        <v>-1677.248956671060</v>
      </c>
    </row>
    <row r="12" ht="20.05" customHeight="1">
      <c r="B12" t="s" s="48">
        <v>30</v>
      </c>
      <c r="C12" s="31">
        <f>-('Balance sheet - Assets'!G27)/20</f>
        <v>-3022.6</v>
      </c>
      <c r="D12" s="26">
        <f>-C29/20</f>
        <v>-2871.47</v>
      </c>
      <c r="E12" s="26">
        <f>-D29/20</f>
        <v>-2727.8965</v>
      </c>
      <c r="F12" s="26">
        <f>-E29/20</f>
        <v>-2591.501675</v>
      </c>
    </row>
    <row r="13" ht="20.05" customHeight="1">
      <c r="B13" t="s" s="48">
        <v>49</v>
      </c>
      <c r="C13" s="31">
        <f>-C23*0.3</f>
        <v>-494.992898005269</v>
      </c>
      <c r="D13" s="26">
        <f>-D23*0.3</f>
        <v>-523.113042905532</v>
      </c>
      <c r="E13" s="26">
        <f>-E23*0.3</f>
        <v>-529.018273334586</v>
      </c>
      <c r="F13" s="26">
        <f>-F23*0.3</f>
        <v>-558.839687001318</v>
      </c>
    </row>
    <row r="14" ht="32.05" customHeight="1">
      <c r="B14" t="s" s="48">
        <v>50</v>
      </c>
      <c r="C14" s="31">
        <f>C9+C10+C12+C13</f>
        <v>-2053.166571321040</v>
      </c>
      <c r="D14" s="26">
        <f>D9+D10+D12+D13</f>
        <v>-1836.422899887090</v>
      </c>
      <c r="E14" s="26">
        <f>E9+E10+E12+E13</f>
        <v>-1679.070528885970</v>
      </c>
      <c r="F14" s="26">
        <f>F9+F10+F12+F13</f>
        <v>-1473.092405330260</v>
      </c>
    </row>
    <row r="15" ht="20.05" customHeight="1">
      <c r="B15" t="s" s="48">
        <v>51</v>
      </c>
      <c r="C15" s="31">
        <f>-MIN(0,C14)</f>
        <v>2053.166571321040</v>
      </c>
      <c r="D15" s="26">
        <f>-MIN(C30,D14)</f>
        <v>1836.422899887090</v>
      </c>
      <c r="E15" s="26">
        <f>-MIN(D30,E14)</f>
        <v>1679.070528885970</v>
      </c>
      <c r="F15" s="26">
        <f>-MIN(E30,F14)</f>
        <v>1473.092405330260</v>
      </c>
    </row>
    <row r="16" ht="20.05" customHeight="1">
      <c r="B16" t="s" s="48">
        <v>52</v>
      </c>
      <c r="C16" s="31">
        <f>'Balance sheet - Assets'!C27</f>
        <v>3449</v>
      </c>
      <c r="D16" s="26">
        <f>C18</f>
        <v>3449</v>
      </c>
      <c r="E16" s="26">
        <f>D18</f>
        <v>3449</v>
      </c>
      <c r="F16" s="26">
        <f>E18</f>
        <v>3449</v>
      </c>
    </row>
    <row r="17" ht="20.05" customHeight="1">
      <c r="B17" t="s" s="48">
        <v>53</v>
      </c>
      <c r="C17" s="31">
        <f>C9+C10+C11</f>
        <v>0</v>
      </c>
      <c r="D17" s="26">
        <f>D9+D10+D11</f>
        <v>0</v>
      </c>
      <c r="E17" s="26">
        <f>E9+E10+E11</f>
        <v>0</v>
      </c>
      <c r="F17" s="26">
        <f>F9+F10+F11</f>
        <v>0</v>
      </c>
    </row>
    <row r="18" ht="20.05" customHeight="1">
      <c r="B18" t="s" s="48">
        <v>54</v>
      </c>
      <c r="C18" s="31">
        <f>C16+C17</f>
        <v>3449</v>
      </c>
      <c r="D18" s="26">
        <f>D16+D17</f>
        <v>3449</v>
      </c>
      <c r="E18" s="26">
        <f>E16+E17</f>
        <v>3449</v>
      </c>
      <c r="F18" s="26">
        <f>F16+F17</f>
        <v>3449</v>
      </c>
    </row>
    <row r="19" ht="20.05" customHeight="1">
      <c r="B19" t="s" s="51">
        <v>55</v>
      </c>
      <c r="C19" s="24"/>
      <c r="D19" s="20"/>
      <c r="E19" s="21">
        <f>SUM('Sales - Quarterly sales'!C24:C27)</f>
        <v>19207.9</v>
      </c>
      <c r="F19" s="21">
        <f>SUM(C20:F20)</f>
        <v>22885.76745</v>
      </c>
    </row>
    <row r="20" ht="20.05" customHeight="1">
      <c r="B20" t="s" s="48">
        <v>4</v>
      </c>
      <c r="C20" s="22">
        <f>C6</f>
        <v>5418</v>
      </c>
      <c r="D20" s="26">
        <f>D6</f>
        <v>5688.9</v>
      </c>
      <c r="E20" s="26">
        <f>E6</f>
        <v>5745.789</v>
      </c>
      <c r="F20" s="26">
        <f>F6</f>
        <v>6033.07845</v>
      </c>
    </row>
    <row r="21" ht="20.05" customHeight="1">
      <c r="B21" t="s" s="48">
        <v>56</v>
      </c>
      <c r="C21" s="31">
        <f>-AVERAGE('Cashflow  - Quarterly Cashflow'!D27)</f>
        <v>-224.7</v>
      </c>
      <c r="D21" s="26">
        <f>C21</f>
        <v>-224.7</v>
      </c>
      <c r="E21" s="26">
        <f>D21</f>
        <v>-224.7</v>
      </c>
      <c r="F21" s="26">
        <f>E21</f>
        <v>-224.7</v>
      </c>
    </row>
    <row r="22" ht="20.05" customHeight="1">
      <c r="B22" t="s" s="48">
        <v>48</v>
      </c>
      <c r="C22" s="31">
        <f>C8</f>
        <v>-3543.323673315770</v>
      </c>
      <c r="D22" s="26">
        <f>D8</f>
        <v>-3720.489856981560</v>
      </c>
      <c r="E22" s="26">
        <f>E8</f>
        <v>-3757.694755551380</v>
      </c>
      <c r="F22" s="26">
        <f>F8</f>
        <v>-3945.579493328940</v>
      </c>
    </row>
    <row r="23" ht="20.05" customHeight="1">
      <c r="B23" t="s" s="48">
        <v>57</v>
      </c>
      <c r="C23" s="22">
        <f>SUM(C20:C22)</f>
        <v>1649.976326684230</v>
      </c>
      <c r="D23" s="26">
        <f>SUM(D20:D22)</f>
        <v>1743.710143018440</v>
      </c>
      <c r="E23" s="26">
        <f>SUM(E20:E22)</f>
        <v>1763.394244448620</v>
      </c>
      <c r="F23" s="26">
        <f>SUM(F20:F22)</f>
        <v>1862.798956671060</v>
      </c>
    </row>
    <row r="24" ht="20.05" customHeight="1">
      <c r="B24" t="s" s="52">
        <v>23</v>
      </c>
      <c r="C24" s="24"/>
      <c r="D24" s="20"/>
      <c r="E24" s="26">
        <f>SUM('Cashflow  - Quarterly Cashflow'!C24:C27)</f>
        <v>4731</v>
      </c>
      <c r="F24" s="26">
        <f>SUM(C23:F23)</f>
        <v>7019.879670822350</v>
      </c>
    </row>
    <row r="25" ht="20.05" customHeight="1">
      <c r="B25" t="s" s="48">
        <v>26</v>
      </c>
      <c r="C25" s="31">
        <f>C18</f>
        <v>3449</v>
      </c>
      <c r="D25" s="26">
        <f>D18</f>
        <v>3449</v>
      </c>
      <c r="E25" s="26">
        <f>E18</f>
        <v>3449</v>
      </c>
      <c r="F25" s="26">
        <f>F18</f>
        <v>3449</v>
      </c>
    </row>
    <row r="26" ht="20.05" customHeight="1">
      <c r="B26" t="s" s="48">
        <v>28</v>
      </c>
      <c r="C26" s="31">
        <f>'Balance sheet - Assets'!F27+'Balance sheet - Assets'!E27-C10</f>
        <v>59035.95</v>
      </c>
      <c r="D26" s="26">
        <f>C26-D10</f>
        <v>59446.2</v>
      </c>
      <c r="E26" s="26">
        <f>D26-E10</f>
        <v>59856.45</v>
      </c>
      <c r="F26" s="26">
        <f>E26-F10</f>
        <v>60266.7</v>
      </c>
    </row>
    <row r="27" ht="20.05" customHeight="1">
      <c r="B27" t="s" s="48">
        <v>29</v>
      </c>
      <c r="C27" s="31">
        <f>'Balance sheet - Assets'!F27-C21</f>
        <v>9672.4</v>
      </c>
      <c r="D27" s="26">
        <f>C27-D21</f>
        <v>9897.1</v>
      </c>
      <c r="E27" s="26">
        <f>D27-E21</f>
        <v>10121.8</v>
      </c>
      <c r="F27" s="26">
        <f>E27-F21</f>
        <v>10346.5</v>
      </c>
    </row>
    <row r="28" ht="20.05" customHeight="1">
      <c r="B28" t="s" s="48">
        <v>58</v>
      </c>
      <c r="C28" s="31">
        <f>C26-C27</f>
        <v>49363.55</v>
      </c>
      <c r="D28" s="26">
        <f>D26-D27</f>
        <v>49549.1</v>
      </c>
      <c r="E28" s="26">
        <f>E26-E27</f>
        <v>49734.65</v>
      </c>
      <c r="F28" s="26">
        <f>F26-F27</f>
        <v>49920.2</v>
      </c>
    </row>
    <row r="29" ht="20.05" customHeight="1">
      <c r="B29" t="s" s="48">
        <v>30</v>
      </c>
      <c r="C29" s="31">
        <f>'Balance sheet - Assets'!G27+C12</f>
        <v>57429.4</v>
      </c>
      <c r="D29" s="26">
        <f>C29+D12</f>
        <v>54557.93</v>
      </c>
      <c r="E29" s="26">
        <f>D29+E12</f>
        <v>51830.0335</v>
      </c>
      <c r="F29" s="26">
        <f>E29+F12</f>
        <v>49238.531825</v>
      </c>
    </row>
    <row r="30" ht="20.05" customHeight="1">
      <c r="B30" t="s" s="48">
        <v>51</v>
      </c>
      <c r="C30" s="31">
        <f>C15</f>
        <v>2053.166571321040</v>
      </c>
      <c r="D30" s="26">
        <f>C30+D15</f>
        <v>3889.589471208130</v>
      </c>
      <c r="E30" s="26">
        <f>D30+E15</f>
        <v>5568.6600000941</v>
      </c>
      <c r="F30" s="26">
        <f>E30+F15</f>
        <v>7041.752405424360</v>
      </c>
    </row>
    <row r="31" ht="20.05" customHeight="1">
      <c r="B31" t="s" s="48">
        <v>31</v>
      </c>
      <c r="C31" s="31">
        <f>'Balance sheet - Assets'!H27+C23+C13</f>
        <v>-6670.016571321040</v>
      </c>
      <c r="D31" s="26">
        <f>C31+D23+D13</f>
        <v>-5449.419471208130</v>
      </c>
      <c r="E31" s="26">
        <f>D31+E23+E13</f>
        <v>-4215.0435000941</v>
      </c>
      <c r="F31" s="26">
        <f>E31+F23+F13</f>
        <v>-2911.084230424360</v>
      </c>
    </row>
    <row r="32" ht="20.05" customHeight="1">
      <c r="B32" t="s" s="48">
        <v>32</v>
      </c>
      <c r="C32" s="53">
        <f>C29+C30+C31-C25-C28</f>
        <v>0</v>
      </c>
      <c r="D32" s="54">
        <f>D29+D30+D31-D25-D28</f>
        <v>0</v>
      </c>
      <c r="E32" s="54">
        <f>E29+E30+E31-E25-E28</f>
        <v>0</v>
      </c>
      <c r="F32" s="54">
        <f>F29+F30+F31-F25-F28</f>
        <v>0</v>
      </c>
    </row>
  </sheetData>
  <mergeCells count="1">
    <mergeCell ref="B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dimension ref="B3:E19"/>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7.60156" style="55" customWidth="1"/>
    <col min="2" max="2" width="13.2656" style="55" customWidth="1"/>
    <col min="3" max="5" width="12.1719" style="55" customWidth="1"/>
    <col min="6" max="16384" width="16.3516" style="55" customWidth="1"/>
  </cols>
  <sheetData>
    <row r="1" ht="24.4" customHeight="1"/>
    <row r="2" ht="27.65" customHeight="1">
      <c r="B2" t="s" s="7">
        <v>60</v>
      </c>
      <c r="C2" s="7"/>
      <c r="D2" s="7"/>
      <c r="E2" s="7"/>
    </row>
    <row r="3" ht="20.25" customHeight="1">
      <c r="B3" t="s" s="37">
        <v>7</v>
      </c>
      <c r="C3" s="36"/>
      <c r="D3" s="56">
        <v>44501</v>
      </c>
      <c r="E3" s="56">
        <v>44197</v>
      </c>
    </row>
    <row r="4" ht="20.25" customHeight="1">
      <c r="B4" t="s" s="57">
        <v>21</v>
      </c>
      <c r="C4" s="29">
        <f>SUM('Model - Financial model'!C9:E10)</f>
        <v>4600.430714151290</v>
      </c>
      <c r="D4" s="40">
        <v>6429</v>
      </c>
      <c r="E4" s="30">
        <f>SUM('Model - Financial model'!C9:F10)</f>
        <v>6277.679670822350</v>
      </c>
    </row>
    <row r="5" ht="20.05" customHeight="1">
      <c r="B5" t="s" s="48">
        <v>59</v>
      </c>
      <c r="C5" s="58">
        <v>0.016</v>
      </c>
      <c r="D5" s="59">
        <v>0.016</v>
      </c>
      <c r="E5" s="59">
        <v>0.016</v>
      </c>
    </row>
    <row r="6" ht="20.05" customHeight="1">
      <c r="B6" t="s" s="48">
        <v>62</v>
      </c>
      <c r="C6" s="31">
        <f>C4/C5</f>
        <v>287526.919634456</v>
      </c>
      <c r="D6" s="21">
        <f>D4/D5</f>
        <v>401812.5</v>
      </c>
      <c r="E6" s="26">
        <f>E4/E5</f>
        <v>392354.979426397</v>
      </c>
    </row>
    <row r="7" ht="20.05" customHeight="1">
      <c r="B7" t="s" s="48">
        <v>63</v>
      </c>
      <c r="C7" s="53">
        <v>0.9</v>
      </c>
      <c r="D7" s="54">
        <v>0.5</v>
      </c>
      <c r="E7" s="54">
        <v>0.5</v>
      </c>
    </row>
    <row r="8" ht="20.05" customHeight="1">
      <c r="B8" t="s" s="48">
        <v>64</v>
      </c>
      <c r="C8" s="31">
        <f>C6*C7</f>
        <v>258774.22767101</v>
      </c>
      <c r="D8" s="21">
        <f>D6*D7</f>
        <v>200906.25</v>
      </c>
      <c r="E8" s="26">
        <f>E6*E7</f>
        <v>196177.489713199</v>
      </c>
    </row>
    <row r="9" ht="20.05" customHeight="1">
      <c r="B9" t="s" s="48">
        <v>65</v>
      </c>
      <c r="C9" s="60">
        <f t="shared" si="8" ref="C9:E9">165700/222.67</f>
        <v>744.150536668613</v>
      </c>
      <c r="D9" s="61">
        <f t="shared" si="8"/>
        <v>744.150536668613</v>
      </c>
      <c r="E9" s="61">
        <f t="shared" si="8"/>
        <v>744.150536668613</v>
      </c>
    </row>
    <row r="10" ht="20.05" customHeight="1">
      <c r="B10" t="s" s="48">
        <v>66</v>
      </c>
      <c r="C10" s="60">
        <f>C8/C9</f>
        <v>347.744461529896</v>
      </c>
      <c r="D10" s="61">
        <f>D8/D9</f>
        <v>269.980655929390</v>
      </c>
      <c r="E10" s="61">
        <f>E8/E9</f>
        <v>263.626081076874</v>
      </c>
    </row>
    <row r="11" ht="20.05" customHeight="1">
      <c r="B11" t="s" s="48">
        <v>67</v>
      </c>
      <c r="C11" s="24"/>
      <c r="D11" s="21">
        <f>D9*'Share price - MCD'!B85</f>
        <v>51925.3361476625</v>
      </c>
      <c r="E11" s="21">
        <f>E9*'Share price - MCD'!C85</f>
        <v>161808.094181524</v>
      </c>
    </row>
    <row r="12" ht="20.05" customHeight="1">
      <c r="B12" t="s" s="48">
        <v>68</v>
      </c>
      <c r="C12" s="24"/>
      <c r="D12" s="62"/>
      <c r="E12" s="62">
        <f>E11/'Cashflow  - Quarterly Cashflow'!K26</f>
        <v>5.97161573141341</v>
      </c>
    </row>
    <row r="13" ht="20.05" customHeight="1">
      <c r="B13" t="s" s="48">
        <v>69</v>
      </c>
      <c r="C13" s="24"/>
      <c r="D13" s="62"/>
      <c r="E13" s="62">
        <f>E11/'Model - Financial model'!F19</f>
        <v>7.07024986315344</v>
      </c>
    </row>
    <row r="14" ht="20.05" customHeight="1">
      <c r="B14" t="s" s="48">
        <v>70</v>
      </c>
      <c r="C14" s="24"/>
      <c r="D14" s="62"/>
      <c r="E14" s="62">
        <f>E11/('Model - Financial model'!F25+'Model - Financial model'!F26+'Model - Financial model'!F28)</f>
        <v>1.42391703837893</v>
      </c>
    </row>
    <row r="15" ht="20.05" customHeight="1">
      <c r="B15" t="s" s="48">
        <v>71</v>
      </c>
      <c r="C15" s="24"/>
      <c r="D15" s="63"/>
      <c r="E15" s="63">
        <f>E11/'Model - Financial model'!F31</f>
        <v>-55.5834463635347</v>
      </c>
    </row>
    <row r="16" ht="20.05" customHeight="1">
      <c r="B16" t="s" s="48">
        <v>72</v>
      </c>
      <c r="C16" s="24"/>
      <c r="D16" s="64"/>
      <c r="E16" s="64">
        <f>'Model - Financial model'!F24/'Model - Financial model'!F31</f>
        <v>-2.41143131396065</v>
      </c>
    </row>
    <row r="17" ht="20.05" customHeight="1">
      <c r="B17" t="s" s="48">
        <v>10</v>
      </c>
      <c r="C17" s="24"/>
      <c r="D17" s="64"/>
      <c r="E17" s="64">
        <f>'Model - Financial model'!F19/'Model - Financial model'!E19-1</f>
        <v>0.191476811624384</v>
      </c>
    </row>
    <row r="18" ht="20.05" customHeight="1">
      <c r="B18" t="s" s="48">
        <v>73</v>
      </c>
      <c r="C18" s="24"/>
      <c r="D18" s="64"/>
      <c r="E18" s="64">
        <f>'Model - Financial model'!F24/'Model - Financial model'!E24-1</f>
        <v>0.483804622875153</v>
      </c>
    </row>
    <row r="19" ht="20.05" customHeight="1">
      <c r="B19" t="s" s="48">
        <v>74</v>
      </c>
      <c r="C19" s="24"/>
      <c r="D19" s="64"/>
      <c r="E19" s="64">
        <f>-('Model - Financial model'!C13+'Model - Financial model'!D13+'Model - Financial model'!E13+'Model - Financial model'!F13)/E11</f>
        <v>0.0130151950178965</v>
      </c>
    </row>
  </sheetData>
  <mergeCells count="1">
    <mergeCell ref="B2:E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