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1.xml" ContentType="application/vnd.openxmlformats-officedocument.drawing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Model" sheetId="1" r:id="rId4"/>
    <sheet name="Sales" sheetId="2" r:id="rId5"/>
    <sheet name="Cashflow " sheetId="3" r:id="rId6"/>
    <sheet name="Balance sheet" sheetId="4" r:id="rId7"/>
    <sheet name="Share price" sheetId="5" r:id="rId8"/>
  </sheets>
</workbook>
</file>

<file path=xl/sharedStrings.xml><?xml version="1.0" encoding="utf-8"?>
<sst xmlns="http://schemas.openxmlformats.org/spreadsheetml/2006/main" uniqueCount="55">
  <si>
    <t>Financial model</t>
  </si>
  <si>
    <t>$m</t>
  </si>
  <si>
    <t>4Q 2021</t>
  </si>
  <si>
    <t xml:space="preserve">Cashflow </t>
  </si>
  <si>
    <t>Growth</t>
  </si>
  <si>
    <t>Sales</t>
  </si>
  <si>
    <t xml:space="preserve">Cost ratio </t>
  </si>
  <si>
    <t>Cash costs</t>
  </si>
  <si>
    <t xml:space="preserve">Operating </t>
  </si>
  <si>
    <t xml:space="preserve">Investment </t>
  </si>
  <si>
    <t xml:space="preserve">Finance </t>
  </si>
  <si>
    <t xml:space="preserve">Liabilities </t>
  </si>
  <si>
    <t>Equity</t>
  </si>
  <si>
    <t xml:space="preserve">Before revolver </t>
  </si>
  <si>
    <t xml:space="preserve">Revolver </t>
  </si>
  <si>
    <t>Beginning</t>
  </si>
  <si>
    <t>Change</t>
  </si>
  <si>
    <t>Ending</t>
  </si>
  <si>
    <t xml:space="preserve">Profit </t>
  </si>
  <si>
    <t xml:space="preserve">Non cash costs </t>
  </si>
  <si>
    <t xml:space="preserve">Net profit </t>
  </si>
  <si>
    <t>Balance sheet</t>
  </si>
  <si>
    <t>Other assets</t>
  </si>
  <si>
    <t xml:space="preserve">Depreciation </t>
  </si>
  <si>
    <t>Net other assets</t>
  </si>
  <si>
    <t xml:space="preserve">Equity </t>
  </si>
  <si>
    <t xml:space="preserve">Check </t>
  </si>
  <si>
    <t xml:space="preserve">Net cash </t>
  </si>
  <si>
    <t xml:space="preserve">Valuation </t>
  </si>
  <si>
    <t xml:space="preserve">Capital </t>
  </si>
  <si>
    <t xml:space="preserve">Current value </t>
  </si>
  <si>
    <t>P/assets</t>
  </si>
  <si>
    <t>Yield</t>
  </si>
  <si>
    <t xml:space="preserve">Payback </t>
  </si>
  <si>
    <t xml:space="preserve">Forecast </t>
  </si>
  <si>
    <t>Value</t>
  </si>
  <si>
    <t>Shares</t>
  </si>
  <si>
    <t>Target</t>
  </si>
  <si>
    <t xml:space="preserve">Current </t>
  </si>
  <si>
    <t>V target</t>
  </si>
  <si>
    <t xml:space="preserve">12 month growth </t>
  </si>
  <si>
    <t xml:space="preserve">Sales forecasts </t>
  </si>
  <si>
    <t xml:space="preserve">Sales growth </t>
  </si>
  <si>
    <t xml:space="preserve">Cash cost ratio </t>
  </si>
  <si>
    <t>Costs</t>
  </si>
  <si>
    <t>Cashflow</t>
  </si>
  <si>
    <t>Net profit</t>
  </si>
  <si>
    <t>Non cash costs</t>
  </si>
  <si>
    <t xml:space="preserve">Working capital </t>
  </si>
  <si>
    <t>PPE</t>
  </si>
  <si>
    <t>Finance</t>
  </si>
  <si>
    <t xml:space="preserve">Free cashflow </t>
  </si>
  <si>
    <t>Cash</t>
  </si>
  <si>
    <t>Assets</t>
  </si>
  <si>
    <t>MCD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</si>
</sst>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#,##0%"/>
  </numFmts>
  <fonts count="5">
    <font>
      <sz val="10"/>
      <color indexed="8"/>
      <name val="Helvetica Neue"/>
    </font>
    <font>
      <sz val="12"/>
      <color indexed="8"/>
      <name val="Helvetica Neue"/>
    </font>
    <font>
      <b val="1"/>
      <sz val="10"/>
      <color indexed="8"/>
      <name val="Helvetica Neue"/>
    </font>
    <font>
      <sz val="10"/>
      <color indexed="8"/>
      <name val="Calibri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42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center" vertical="center"/>
    </xf>
    <xf numFmtId="49" fontId="2" fillId="2" borderId="1" applyNumberFormat="1" applyFont="1" applyFill="1" applyBorder="1" applyAlignment="1" applyProtection="0">
      <alignment vertical="top" wrapText="1"/>
    </xf>
    <xf numFmtId="0" fontId="2" fillId="2" borderId="1" applyNumberFormat="0" applyFont="1" applyFill="1" applyBorder="1" applyAlignment="1" applyProtection="0">
      <alignment vertical="top" wrapText="1"/>
    </xf>
    <xf numFmtId="49" fontId="2" fillId="3" borderId="2" applyNumberFormat="1" applyFont="1" applyFill="1" applyBorder="1" applyAlignment="1" applyProtection="0">
      <alignment vertical="top" wrapText="1"/>
    </xf>
    <xf numFmtId="59" fontId="0" borderId="3" applyNumberFormat="1" applyFont="1" applyFill="0" applyBorder="1" applyAlignment="1" applyProtection="0">
      <alignment vertical="top" wrapText="1"/>
    </xf>
    <xf numFmtId="0" fontId="0" borderId="4" applyNumberFormat="0" applyFont="1" applyFill="0" applyBorder="1" applyAlignment="1" applyProtection="0">
      <alignment vertical="top" wrapText="1"/>
    </xf>
    <xf numFmtId="9" fontId="0" borderId="4" applyNumberFormat="1" applyFont="1" applyFill="0" applyBorder="1" applyAlignment="1" applyProtection="0">
      <alignment vertical="top" wrapText="1"/>
    </xf>
    <xf numFmtId="49" fontId="0" fillId="3" borderId="5" applyNumberFormat="1" applyFont="1" applyFill="1" applyBorder="1" applyAlignment="1" applyProtection="0">
      <alignment vertical="top" wrapText="1"/>
    </xf>
    <xf numFmtId="9" fontId="0" borderId="6" applyNumberFormat="1" applyFont="1" applyFill="0" applyBorder="1" applyAlignment="1" applyProtection="0">
      <alignment vertical="top" wrapText="1"/>
    </xf>
    <xf numFmtId="9" fontId="0" borderId="7" applyNumberFormat="1" applyFont="1" applyFill="0" applyBorder="1" applyAlignment="1" applyProtection="0">
      <alignment vertical="top" wrapText="1"/>
    </xf>
    <xf numFmtId="3" fontId="0" borderId="6" applyNumberFormat="1" applyFont="1" applyFill="0" applyBorder="1" applyAlignment="1" applyProtection="0">
      <alignment vertical="top" wrapText="1"/>
    </xf>
    <xf numFmtId="38" fontId="0" borderId="7" applyNumberFormat="1" applyFont="1" applyFill="0" applyBorder="1" applyAlignment="1" applyProtection="0">
      <alignment vertical="top" wrapText="1"/>
    </xf>
    <xf numFmtId="59" fontId="0" borderId="6" applyNumberFormat="1" applyFont="1" applyFill="0" applyBorder="1" applyAlignment="1" applyProtection="0">
      <alignment vertical="top" wrapText="1"/>
    </xf>
    <xf numFmtId="59" fontId="0" borderId="7" applyNumberFormat="1" applyFont="1" applyFill="0" applyBorder="1" applyAlignment="1" applyProtection="0">
      <alignment vertical="top" wrapText="1"/>
    </xf>
    <xf numFmtId="3" fontId="0" borderId="7" applyNumberFormat="1" applyFont="1" applyFill="0" applyBorder="1" applyAlignment="1" applyProtection="0">
      <alignment vertical="top" wrapText="1"/>
    </xf>
    <xf numFmtId="49" fontId="2" fillId="3" borderId="5" applyNumberFormat="1" applyFont="1" applyFill="1" applyBorder="1" applyAlignment="1" applyProtection="0">
      <alignment vertical="top" wrapText="1"/>
    </xf>
    <xf numFmtId="0" fontId="0" borderId="6" applyNumberFormat="1" applyFont="1" applyFill="0" applyBorder="1" applyAlignment="1" applyProtection="0">
      <alignment vertical="top" wrapText="1"/>
    </xf>
    <xf numFmtId="0" fontId="0" borderId="7" applyNumberFormat="1" applyFont="1" applyFill="0" applyBorder="1" applyAlignment="1" applyProtection="0">
      <alignment vertical="top" wrapText="1"/>
    </xf>
    <xf numFmtId="0" fontId="0" borderId="7" applyNumberFormat="0" applyFont="1" applyFill="0" applyBorder="1" applyAlignment="1" applyProtection="0">
      <alignment vertical="top" wrapText="1"/>
    </xf>
    <xf numFmtId="4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49" fontId="2" fillId="2" borderId="1" applyNumberFormat="1" applyFont="1" applyFill="1" applyBorder="1" applyAlignment="1" applyProtection="0">
      <alignment horizontal="right" vertical="top" wrapText="1"/>
    </xf>
    <xf numFmtId="0" fontId="2" fillId="4" borderId="2" applyNumberFormat="1" applyFont="1" applyFill="1" applyBorder="1" applyAlignment="1" applyProtection="0">
      <alignment vertical="top" wrapText="1"/>
    </xf>
    <xf numFmtId="3" fontId="0" borderId="3" applyNumberFormat="1" applyFont="1" applyFill="0" applyBorder="1" applyAlignment="1" applyProtection="0">
      <alignment horizontal="right" vertical="top" wrapText="1"/>
    </xf>
    <xf numFmtId="3" fontId="3" borderId="4" applyNumberFormat="1" applyFont="1" applyFill="0" applyBorder="1" applyAlignment="1" applyProtection="0">
      <alignment horizontal="right" vertical="top" wrapText="1"/>
    </xf>
    <xf numFmtId="59" fontId="3" borderId="4" applyNumberFormat="1" applyFont="1" applyFill="0" applyBorder="1" applyAlignment="1" applyProtection="0">
      <alignment horizontal="right" vertical="top" wrapText="1"/>
    </xf>
    <xf numFmtId="0" fontId="2" fillId="4" borderId="5" applyNumberFormat="0" applyFont="1" applyFill="1" applyBorder="1" applyAlignment="1" applyProtection="0">
      <alignment vertical="top" wrapText="1"/>
    </xf>
    <xf numFmtId="3" fontId="0" borderId="6" applyNumberFormat="1" applyFont="1" applyFill="0" applyBorder="1" applyAlignment="1" applyProtection="0">
      <alignment horizontal="right" vertical="top" wrapText="1"/>
    </xf>
    <xf numFmtId="3" fontId="3" borderId="7" applyNumberFormat="1" applyFont="1" applyFill="0" applyBorder="1" applyAlignment="1" applyProtection="0">
      <alignment horizontal="right" vertical="top" wrapText="1"/>
    </xf>
    <xf numFmtId="59" fontId="3" borderId="7" applyNumberFormat="1" applyFont="1" applyFill="0" applyBorder="1" applyAlignment="1" applyProtection="0">
      <alignment horizontal="right" vertical="top" wrapText="1"/>
    </xf>
    <xf numFmtId="0" fontId="2" fillId="4" borderId="5" applyNumberFormat="1" applyFont="1" applyFill="1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3" fontId="0" borderId="3" applyNumberFormat="1" applyFont="1" applyFill="0" applyBorder="1" applyAlignment="1" applyProtection="0">
      <alignment vertical="top" wrapText="1"/>
    </xf>
    <xf numFmtId="3" fontId="0" borderId="4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1" fontId="4" borderId="3" applyNumberFormat="1" applyFont="1" applyFill="0" applyBorder="1" applyAlignment="1" applyProtection="0">
      <alignment horizontal="right" vertical="center" wrapText="1" readingOrder="1"/>
    </xf>
    <xf numFmtId="1" fontId="4" borderId="6" applyNumberFormat="1" applyFont="1" applyFill="0" applyBorder="1" applyAlignment="1" applyProtection="0">
      <alignment horizontal="right" vertical="center" wrapText="1" readingOrder="1"/>
    </xf>
    <xf numFmtId="1" fontId="0" borderId="7" applyNumberFormat="1" applyFont="1" applyFill="0" applyBorder="1" applyAlignment="1" applyProtection="0">
      <alignment vertical="top" wrapText="1"/>
    </xf>
    <xf numFmtId="1" fontId="0" borderId="6" applyNumberFormat="1" applyFont="1" applyFill="0" applyBorder="1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6d6d6"/>
      <rgbColor rgb="ffdbdbdb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6</xdr:col>
      <xdr:colOff>776739</xdr:colOff>
      <xdr:row>1</xdr:row>
      <xdr:rowOff>286512</xdr:rowOff>
    </xdr:from>
    <xdr:to>
      <xdr:col>13</xdr:col>
      <xdr:colOff>575104</xdr:colOff>
      <xdr:row>46</xdr:row>
      <xdr:rowOff>154120</xdr:rowOff>
    </xdr:to>
    <xdr:pic>
      <xdr:nvPicPr>
        <xdr:cNvPr id="2" name="Image" descr="Image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5005839" y="991997"/>
          <a:ext cx="8510566" cy="11427784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000000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584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Helvetica Neue Medium"/>
            <a:ea typeface="Helvetica Neue Medium"/>
            <a:cs typeface="Helvetica Neue Medium"/>
            <a:sym typeface="Helvetica Neue Medium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B3:F46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6.70312" style="1" customWidth="1"/>
    <col min="2" max="2" width="14.7656" style="1" customWidth="1"/>
    <col min="3" max="6" width="8.42188" style="1" customWidth="1"/>
    <col min="7" max="16384" width="16.3516" style="1" customWidth="1"/>
  </cols>
  <sheetData>
    <row r="1" ht="55.55" customHeight="1"/>
    <row r="2" ht="27.65" customHeight="1">
      <c r="B2" t="s" s="2">
        <v>0</v>
      </c>
      <c r="C2" s="2"/>
      <c r="D2" s="2"/>
      <c r="E2" s="2"/>
      <c r="F2" s="2"/>
    </row>
    <row r="3" ht="20.25" customHeight="1">
      <c r="B3" t="s" s="3">
        <v>1</v>
      </c>
      <c r="C3" t="s" s="3">
        <v>2</v>
      </c>
      <c r="D3" s="4"/>
      <c r="E3" s="4"/>
      <c r="F3" s="4"/>
    </row>
    <row r="4" ht="20.25" customHeight="1">
      <c r="B4" t="s" s="5">
        <v>3</v>
      </c>
      <c r="C4" s="6">
        <f>AVERAGE('Sales'!E26:E29)</f>
        <v>0.133624792867232</v>
      </c>
      <c r="D4" s="7"/>
      <c r="E4" s="7"/>
      <c r="F4" s="8">
        <f>AVERAGE(C5:F5)</f>
        <v>0.0175</v>
      </c>
    </row>
    <row r="5" ht="20.05" customHeight="1">
      <c r="B5" t="s" s="9">
        <v>4</v>
      </c>
      <c r="C5" s="10">
        <v>-0.02</v>
      </c>
      <c r="D5" s="11">
        <v>-0.02</v>
      </c>
      <c r="E5" s="11">
        <v>0.1</v>
      </c>
      <c r="F5" s="11">
        <v>0.01</v>
      </c>
    </row>
    <row r="6" ht="20.05" customHeight="1">
      <c r="B6" t="s" s="9">
        <v>5</v>
      </c>
      <c r="C6" s="12">
        <f>'Sales'!C30*(1+C5)</f>
        <v>6077.274</v>
      </c>
      <c r="D6" s="13">
        <f>C6*(1+D5)</f>
        <v>5955.72852</v>
      </c>
      <c r="E6" s="13">
        <f>D6*(1+E5)</f>
        <v>6551.301372</v>
      </c>
      <c r="F6" s="13">
        <f>E6*(1+F5)</f>
        <v>6616.81438572</v>
      </c>
    </row>
    <row r="7" ht="20.05" customHeight="1">
      <c r="B7" t="s" s="9">
        <v>6</v>
      </c>
      <c r="C7" s="14">
        <f>AVERAGE('Sales'!F30)</f>
        <v>-0.605921339074065</v>
      </c>
      <c r="D7" s="15">
        <f>C7</f>
        <v>-0.605921339074065</v>
      </c>
      <c r="E7" s="15">
        <f>D7</f>
        <v>-0.605921339074065</v>
      </c>
      <c r="F7" s="15">
        <f>E7</f>
        <v>-0.605921339074065</v>
      </c>
    </row>
    <row r="8" ht="20.05" customHeight="1">
      <c r="B8" t="s" s="9">
        <v>7</v>
      </c>
      <c r="C8" s="12">
        <f>C6*C7</f>
        <v>-3682.35</v>
      </c>
      <c r="D8" s="16">
        <f>D6*D7</f>
        <v>-3608.703</v>
      </c>
      <c r="E8" s="16">
        <f>E6*E7</f>
        <v>-3969.5733</v>
      </c>
      <c r="F8" s="16">
        <f>F6*F7</f>
        <v>-4009.269033</v>
      </c>
    </row>
    <row r="9" ht="20.05" customHeight="1">
      <c r="B9" t="s" s="9">
        <v>8</v>
      </c>
      <c r="C9" s="12">
        <f>C6+C8</f>
        <v>2394.924</v>
      </c>
      <c r="D9" s="16">
        <f>D6+D8</f>
        <v>2347.02552</v>
      </c>
      <c r="E9" s="16">
        <f>E6+E8</f>
        <v>2581.728072</v>
      </c>
      <c r="F9" s="16">
        <f>F6+F8</f>
        <v>2607.54535272</v>
      </c>
    </row>
    <row r="10" ht="20.05" customHeight="1">
      <c r="B10" t="s" s="9">
        <v>9</v>
      </c>
      <c r="C10" s="12">
        <f>AVERAGE('Cashflow '!F29)</f>
        <v>-483</v>
      </c>
      <c r="D10" s="16">
        <f>C10</f>
        <v>-483</v>
      </c>
      <c r="E10" s="16">
        <f>D10</f>
        <v>-483</v>
      </c>
      <c r="F10" s="16">
        <f>E10</f>
        <v>-483</v>
      </c>
    </row>
    <row r="11" ht="20.05" customHeight="1">
      <c r="B11" t="s" s="9">
        <v>10</v>
      </c>
      <c r="C11" s="12">
        <f>C12+C13+C15</f>
        <v>-1911.924</v>
      </c>
      <c r="D11" s="16">
        <f>D12+D13+D15</f>
        <v>-1864.02552</v>
      </c>
      <c r="E11" s="16">
        <f>E12+E13+E15</f>
        <v>-2098.728072</v>
      </c>
      <c r="F11" s="16">
        <f>F12+F13+F15</f>
        <v>-2124.54535272</v>
      </c>
    </row>
    <row r="12" ht="20.05" customHeight="1">
      <c r="B12" t="s" s="9">
        <v>11</v>
      </c>
      <c r="C12" s="12">
        <f>-('Balance sheet'!G30)/20</f>
        <v>-2920.1</v>
      </c>
      <c r="D12" s="16">
        <f>-C26/20</f>
        <v>-2774.095</v>
      </c>
      <c r="E12" s="16">
        <f>-D26/20</f>
        <v>-2635.39025</v>
      </c>
      <c r="F12" s="16">
        <f>-E26/20</f>
        <v>-2503.6207375</v>
      </c>
    </row>
    <row r="13" ht="20.05" customHeight="1">
      <c r="B13" t="s" s="9">
        <v>12</v>
      </c>
      <c r="C13" s="12">
        <f>IF(C21&gt;0,-C21*0.7,0)</f>
        <v>-1470.7168</v>
      </c>
      <c r="D13" s="16">
        <f>IF(D21&gt;0,-D21*0.7,0)</f>
        <v>-1437.187864</v>
      </c>
      <c r="E13" s="16">
        <f>IF(E21&gt;0,-E21*0.7,0)</f>
        <v>-1601.4796504</v>
      </c>
      <c r="F13" s="16">
        <f>IF(F21&gt;0,-F21*0.7,0)</f>
        <v>-1619.551746904</v>
      </c>
    </row>
    <row r="14" ht="20.05" customHeight="1">
      <c r="B14" t="s" s="9">
        <v>13</v>
      </c>
      <c r="C14" s="12">
        <f>C9+C10+C12+C13</f>
        <v>-2478.8928</v>
      </c>
      <c r="D14" s="16">
        <f>D9+D10+D12+D13</f>
        <v>-2347.257344</v>
      </c>
      <c r="E14" s="16">
        <f>E9+E10+E12+E13</f>
        <v>-2138.1418284</v>
      </c>
      <c r="F14" s="16">
        <f>F9+F10+F12+F13</f>
        <v>-1998.627131684</v>
      </c>
    </row>
    <row r="15" ht="20.05" customHeight="1">
      <c r="B15" t="s" s="9">
        <v>14</v>
      </c>
      <c r="C15" s="12">
        <f>-MIN(0,C14)</f>
        <v>2478.8928</v>
      </c>
      <c r="D15" s="16">
        <f>-MIN(C27,D14)</f>
        <v>2347.257344</v>
      </c>
      <c r="E15" s="16">
        <f>-MIN(D27,E14)</f>
        <v>2138.1418284</v>
      </c>
      <c r="F15" s="16">
        <f>-MIN(E27,F14)</f>
        <v>1998.627131684</v>
      </c>
    </row>
    <row r="16" ht="20.05" customHeight="1">
      <c r="B16" t="s" s="9">
        <v>15</v>
      </c>
      <c r="C16" s="12">
        <f>'Balance sheet'!C30</f>
        <v>4305.8</v>
      </c>
      <c r="D16" s="16">
        <f>C18</f>
        <v>4305.8</v>
      </c>
      <c r="E16" s="16">
        <f>D18</f>
        <v>4305.8</v>
      </c>
      <c r="F16" s="16">
        <f>E18</f>
        <v>4305.8</v>
      </c>
    </row>
    <row r="17" ht="20.05" customHeight="1">
      <c r="B17" t="s" s="9">
        <v>16</v>
      </c>
      <c r="C17" s="12">
        <f>C9+C10+C11</f>
        <v>0</v>
      </c>
      <c r="D17" s="16">
        <f>D9+D10+D11</f>
        <v>0</v>
      </c>
      <c r="E17" s="16">
        <f>E9+E10+E11</f>
        <v>0</v>
      </c>
      <c r="F17" s="16">
        <f>F9+F10+F11</f>
        <v>0</v>
      </c>
    </row>
    <row r="18" ht="20.05" customHeight="1">
      <c r="B18" t="s" s="9">
        <v>17</v>
      </c>
      <c r="C18" s="12">
        <f>C16+C17</f>
        <v>4305.8</v>
      </c>
      <c r="D18" s="16">
        <f>D16+D17</f>
        <v>4305.8</v>
      </c>
      <c r="E18" s="16">
        <f>E16+E17</f>
        <v>4305.8</v>
      </c>
      <c r="F18" s="16">
        <f>F16+F17</f>
        <v>4305.8</v>
      </c>
    </row>
    <row r="19" ht="20.05" customHeight="1">
      <c r="B19" t="s" s="17">
        <v>18</v>
      </c>
      <c r="C19" s="18"/>
      <c r="D19" s="19"/>
      <c r="E19" s="19"/>
      <c r="F19" s="20"/>
    </row>
    <row r="20" ht="20.05" customHeight="1">
      <c r="B20" t="s" s="9">
        <v>19</v>
      </c>
      <c r="C20" s="12">
        <f>-AVERAGE('Cashflow '!D30)</f>
        <v>-293.9</v>
      </c>
      <c r="D20" s="16">
        <f>C20</f>
        <v>-293.9</v>
      </c>
      <c r="E20" s="16">
        <f>D20</f>
        <v>-293.9</v>
      </c>
      <c r="F20" s="16">
        <f>E20</f>
        <v>-293.9</v>
      </c>
    </row>
    <row r="21" ht="20.05" customHeight="1">
      <c r="B21" t="s" s="9">
        <v>20</v>
      </c>
      <c r="C21" s="12">
        <f>C6+C8+C20</f>
        <v>2101.024</v>
      </c>
      <c r="D21" s="16">
        <f>D6+D8+D20</f>
        <v>2053.12552</v>
      </c>
      <c r="E21" s="16">
        <f>E6+E8+E20</f>
        <v>2287.828072</v>
      </c>
      <c r="F21" s="16">
        <f>F6+F8+F20</f>
        <v>2313.64535272</v>
      </c>
    </row>
    <row r="22" ht="20.05" customHeight="1">
      <c r="B22" t="s" s="17">
        <v>21</v>
      </c>
      <c r="C22" s="18"/>
      <c r="D22" s="19"/>
      <c r="E22" s="19"/>
      <c r="F22" s="16"/>
    </row>
    <row r="23" ht="20.05" customHeight="1">
      <c r="B23" t="s" s="9">
        <v>22</v>
      </c>
      <c r="C23" s="12">
        <f>'Balance sheet'!F30+'Balance sheet'!E30-C10</f>
        <v>59055.3</v>
      </c>
      <c r="D23" s="16">
        <f>C23-D10</f>
        <v>59538.3</v>
      </c>
      <c r="E23" s="16">
        <f>D23-E10</f>
        <v>60021.3</v>
      </c>
      <c r="F23" s="16">
        <f>E23-F10</f>
        <v>60504.3</v>
      </c>
    </row>
    <row r="24" ht="20.05" customHeight="1">
      <c r="B24" t="s" s="9">
        <v>23</v>
      </c>
      <c r="C24" s="12">
        <f>'Balance sheet'!F30-C20</f>
        <v>10445</v>
      </c>
      <c r="D24" s="16">
        <f>C24-D20</f>
        <v>10738.9</v>
      </c>
      <c r="E24" s="16">
        <f>D24-E20</f>
        <v>11032.8</v>
      </c>
      <c r="F24" s="16">
        <f>E24-F20</f>
        <v>11326.7</v>
      </c>
    </row>
    <row r="25" ht="20.05" customHeight="1">
      <c r="B25" t="s" s="9">
        <v>24</v>
      </c>
      <c r="C25" s="12">
        <f>C23-C24</f>
        <v>48610.3</v>
      </c>
      <c r="D25" s="16">
        <f>D23-D24</f>
        <v>48799.4</v>
      </c>
      <c r="E25" s="16">
        <f>E23-E24</f>
        <v>48988.5</v>
      </c>
      <c r="F25" s="16">
        <f>F23-F24</f>
        <v>49177.6</v>
      </c>
    </row>
    <row r="26" ht="20.05" customHeight="1">
      <c r="B26" t="s" s="9">
        <v>11</v>
      </c>
      <c r="C26" s="12">
        <f>'Balance sheet'!G30+C12</f>
        <v>55481.9</v>
      </c>
      <c r="D26" s="16">
        <f>C26+D12</f>
        <v>52707.805</v>
      </c>
      <c r="E26" s="16">
        <f>D26+E12</f>
        <v>50072.41475</v>
      </c>
      <c r="F26" s="16">
        <f>E26+F12</f>
        <v>47568.7940125</v>
      </c>
    </row>
    <row r="27" ht="20.05" customHeight="1">
      <c r="B27" t="s" s="9">
        <v>14</v>
      </c>
      <c r="C27" s="12">
        <f>C15</f>
        <v>2478.8928</v>
      </c>
      <c r="D27" s="16">
        <f>C27+D15</f>
        <v>4826.150144</v>
      </c>
      <c r="E27" s="16">
        <f>D27+E15</f>
        <v>6964.2919724</v>
      </c>
      <c r="F27" s="16">
        <f>E27+F15</f>
        <v>8962.919104084</v>
      </c>
    </row>
    <row r="28" ht="20.05" customHeight="1">
      <c r="B28" t="s" s="9">
        <v>25</v>
      </c>
      <c r="C28" s="12">
        <f>'Balance sheet'!H30+C21+C13</f>
        <v>-5044.6928</v>
      </c>
      <c r="D28" s="16">
        <f>C28+D21+D13</f>
        <v>-4428.755144</v>
      </c>
      <c r="E28" s="16">
        <f>D28+E21+E13</f>
        <v>-3742.4067224</v>
      </c>
      <c r="F28" s="16">
        <f>E28+F21+F13</f>
        <v>-3048.313116584</v>
      </c>
    </row>
    <row r="29" ht="20.05" customHeight="1">
      <c r="B29" t="s" s="9">
        <v>26</v>
      </c>
      <c r="C29" s="12">
        <f>C26+C27+C28-C18-C25</f>
        <v>0</v>
      </c>
      <c r="D29" s="16">
        <f>D26+D27+D28-D18-D25</f>
        <v>0</v>
      </c>
      <c r="E29" s="16">
        <f>E26+E27+E28-E18-E25</f>
        <v>0</v>
      </c>
      <c r="F29" s="16">
        <f>F26+F27+F28-F18-F25</f>
        <v>0</v>
      </c>
    </row>
    <row r="30" ht="20.05" customHeight="1">
      <c r="B30" t="s" s="9">
        <v>27</v>
      </c>
      <c r="C30" s="12">
        <f>C18-C26-C27</f>
        <v>-53654.9928</v>
      </c>
      <c r="D30" s="16">
        <f>D18-D26-D27</f>
        <v>-53228.155144</v>
      </c>
      <c r="E30" s="16">
        <f>E18-E26-E27</f>
        <v>-52730.9067224</v>
      </c>
      <c r="F30" s="16">
        <f>F18-F26-F27</f>
        <v>-52225.913116584</v>
      </c>
    </row>
    <row r="31" ht="20.05" customHeight="1">
      <c r="B31" t="s" s="17">
        <v>28</v>
      </c>
      <c r="C31" s="12"/>
      <c r="D31" s="16"/>
      <c r="E31" s="16"/>
      <c r="F31" s="16"/>
    </row>
    <row r="32" ht="20.05" customHeight="1">
      <c r="B32" t="s" s="9">
        <v>29</v>
      </c>
      <c r="C32" s="12">
        <f>'Cashflow '!N30-C11</f>
        <v>41175.84694472</v>
      </c>
      <c r="D32" s="16">
        <f>C32-D11</f>
        <v>43039.87246472</v>
      </c>
      <c r="E32" s="16">
        <f>D32-E11</f>
        <v>45138.60053672</v>
      </c>
      <c r="F32" s="16">
        <f>E32-F11</f>
        <v>47263.14588944</v>
      </c>
    </row>
    <row r="33" ht="20.05" customHeight="1">
      <c r="B33" t="s" s="9">
        <v>30</v>
      </c>
      <c r="C33" s="12"/>
      <c r="D33" s="16"/>
      <c r="E33" s="16"/>
      <c r="F33" s="16">
        <v>198000</v>
      </c>
    </row>
    <row r="34" ht="20.05" customHeight="1">
      <c r="B34" t="s" s="9">
        <v>31</v>
      </c>
      <c r="C34" s="12"/>
      <c r="D34" s="16"/>
      <c r="E34" s="16"/>
      <c r="F34" s="21">
        <f>F33/(F18+F25)</f>
        <v>3.70208326321812</v>
      </c>
    </row>
    <row r="35" ht="20.05" customHeight="1">
      <c r="B35" t="s" s="9">
        <v>32</v>
      </c>
      <c r="C35" s="12"/>
      <c r="D35" s="16"/>
      <c r="E35" s="16"/>
      <c r="F35" s="15">
        <f>-(C13+D13+E13+F13)/F33</f>
        <v>0.0309542225318384</v>
      </c>
    </row>
    <row r="36" ht="20.05" customHeight="1">
      <c r="B36" t="s" s="9">
        <v>3</v>
      </c>
      <c r="C36" s="12"/>
      <c r="D36" s="16"/>
      <c r="E36" s="16"/>
      <c r="F36" s="16">
        <f>SUM(C9:F10)</f>
        <v>7999.22294472</v>
      </c>
    </row>
    <row r="37" ht="20.05" customHeight="1">
      <c r="B37" t="s" s="9">
        <v>33</v>
      </c>
      <c r="C37" s="12"/>
      <c r="D37" s="16"/>
      <c r="E37" s="16"/>
      <c r="F37" s="16">
        <f>'Balance sheet'!E30/F36</f>
        <v>6.05323796256499</v>
      </c>
    </row>
    <row r="38" ht="20.05" customHeight="1">
      <c r="B38" t="s" s="9">
        <v>28</v>
      </c>
      <c r="C38" s="12"/>
      <c r="D38" s="16"/>
      <c r="E38" s="16"/>
      <c r="F38" s="16">
        <f>F33/F36</f>
        <v>24.7524042483017</v>
      </c>
    </row>
    <row r="39" ht="20.05" customHeight="1">
      <c r="B39" t="s" s="9">
        <v>34</v>
      </c>
      <c r="C39" s="12"/>
      <c r="D39" s="16"/>
      <c r="E39" s="16"/>
      <c r="F39" s="16">
        <v>29</v>
      </c>
    </row>
    <row r="40" ht="20.05" customHeight="1">
      <c r="B40" t="s" s="9">
        <v>35</v>
      </c>
      <c r="C40" s="12"/>
      <c r="D40" s="16"/>
      <c r="E40" s="16"/>
      <c r="F40" s="16">
        <f>F36*F39</f>
        <v>231977.46539688</v>
      </c>
    </row>
    <row r="41" ht="20.05" customHeight="1">
      <c r="B41" t="s" s="9">
        <v>36</v>
      </c>
      <c r="C41" s="12"/>
      <c r="D41" s="16"/>
      <c r="E41" s="16"/>
      <c r="F41" s="16">
        <f>F33/F43</f>
        <v>747.254406159188</v>
      </c>
    </row>
    <row r="42" ht="20.05" customHeight="1">
      <c r="B42" t="s" s="9">
        <v>37</v>
      </c>
      <c r="C42" s="12"/>
      <c r="D42" s="16"/>
      <c r="E42" s="16"/>
      <c r="F42" s="16">
        <f>F40/F41</f>
        <v>310.439742455613</v>
      </c>
    </row>
    <row r="43" ht="20.05" customHeight="1">
      <c r="B43" t="s" s="9">
        <v>38</v>
      </c>
      <c r="C43" s="12"/>
      <c r="D43" s="16"/>
      <c r="E43" s="16"/>
      <c r="F43" s="16">
        <f>'Share price'!B18</f>
        <v>264.97</v>
      </c>
    </row>
    <row r="44" ht="20.05" customHeight="1">
      <c r="B44" t="s" s="9">
        <v>39</v>
      </c>
      <c r="C44" s="12"/>
      <c r="D44" s="16"/>
      <c r="E44" s="16"/>
      <c r="F44" s="15">
        <f>F42/F43-1</f>
        <v>0.171603360590305</v>
      </c>
    </row>
    <row r="45" ht="20.05" customHeight="1">
      <c r="B45" t="s" s="9">
        <v>40</v>
      </c>
      <c r="C45" s="12"/>
      <c r="D45" s="16"/>
      <c r="E45" s="16"/>
      <c r="F45" s="15">
        <f>'Sales'!C30/'Sales'!C26-1</f>
        <v>0.144573643410853</v>
      </c>
    </row>
    <row r="46" ht="20.05" customHeight="1">
      <c r="B46" t="s" s="9">
        <v>41</v>
      </c>
      <c r="C46" s="12"/>
      <c r="D46" s="16"/>
      <c r="E46" s="16"/>
      <c r="F46" s="15">
        <f>('Sales'!D26+'Sales'!D30+'Sales'!D27+'Sales'!D28+'Sales'!D29)/('Sales'!C26+'Sales'!C27+'Sales'!C28+'Sales'!C30+'Sales'!C29)-1</f>
        <v>-0.06525676028669269</v>
      </c>
    </row>
  </sheetData>
  <mergeCells count="1">
    <mergeCell ref="B2:F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dimension ref="B3:G34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6.88281" style="22" customWidth="1"/>
    <col min="2" max="2" width="9.27344" style="22" customWidth="1"/>
    <col min="3" max="3" width="11.0547" style="22" customWidth="1"/>
    <col min="4" max="4" width="13.5391" style="22" customWidth="1"/>
    <col min="5" max="7" width="11.0547" style="22" customWidth="1"/>
    <col min="8" max="16384" width="16.3516" style="22" customWidth="1"/>
  </cols>
  <sheetData>
    <row r="1" ht="29.2" customHeight="1"/>
    <row r="2" ht="27.65" customHeight="1">
      <c r="B2" t="s" s="2">
        <v>5</v>
      </c>
      <c r="C2" s="2"/>
      <c r="D2" s="2"/>
      <c r="E2" s="2"/>
      <c r="F2" s="2"/>
      <c r="G2" s="2"/>
    </row>
    <row r="3" ht="32.25" customHeight="1">
      <c r="B3" t="s" s="23">
        <v>1</v>
      </c>
      <c r="C3" t="s" s="23">
        <v>5</v>
      </c>
      <c r="D3" t="s" s="23">
        <v>34</v>
      </c>
      <c r="E3" t="s" s="23">
        <v>42</v>
      </c>
      <c r="F3" t="s" s="23">
        <v>43</v>
      </c>
      <c r="G3" t="s" s="23">
        <v>44</v>
      </c>
    </row>
    <row r="4" ht="20.25" customHeight="1">
      <c r="B4" s="24">
        <v>2015</v>
      </c>
      <c r="C4" s="25">
        <v>5958.9</v>
      </c>
      <c r="D4" s="26"/>
      <c r="E4" s="26"/>
      <c r="F4" s="27">
        <f>('Cashflow '!C4+'Cashflow '!D4-C4)/C4</f>
        <v>-0.752806726073604</v>
      </c>
      <c r="G4" s="27"/>
    </row>
    <row r="5" ht="20.05" customHeight="1">
      <c r="B5" s="28"/>
      <c r="C5" s="29">
        <v>6497.7</v>
      </c>
      <c r="D5" s="30"/>
      <c r="E5" s="31">
        <f>C5/C4-1</f>
        <v>0.0904193727030157</v>
      </c>
      <c r="F5" s="31">
        <f>('Cashflow '!C5+'Cashflow '!D5-C5)/C5</f>
        <v>-0.746941225356665</v>
      </c>
      <c r="G5" s="31"/>
    </row>
    <row r="6" ht="20.05" customHeight="1">
      <c r="B6" s="28"/>
      <c r="C6" s="29">
        <v>6615.1</v>
      </c>
      <c r="D6" s="30"/>
      <c r="E6" s="31">
        <f>C6/C5-1</f>
        <v>0.018067931729689</v>
      </c>
      <c r="F6" s="31">
        <f>('Cashflow '!C6+'Cashflow '!D6-C6)/C6</f>
        <v>-0.7350002267539421</v>
      </c>
      <c r="G6" s="31"/>
    </row>
    <row r="7" ht="20.05" customHeight="1">
      <c r="B7" s="28"/>
      <c r="C7" s="29">
        <v>6743.5</v>
      </c>
      <c r="D7" s="30"/>
      <c r="E7" s="31">
        <f>C7/C6-1</f>
        <v>0.0194101374128887</v>
      </c>
      <c r="F7" s="31">
        <f>('Cashflow '!C7+'Cashflow '!D7-C7)/C7</f>
        <v>-0.777430117891303</v>
      </c>
      <c r="G7" s="31"/>
    </row>
    <row r="8" ht="20.05" customHeight="1">
      <c r="B8" s="32">
        <v>2016</v>
      </c>
      <c r="C8" s="29">
        <v>5903.9</v>
      </c>
      <c r="D8" s="30"/>
      <c r="E8" s="31">
        <f>C8/C7-1</f>
        <v>-0.124505078964929</v>
      </c>
      <c r="F8" s="31">
        <f>('Cashflow '!C8+'Cashflow '!D8-C8)/C8</f>
        <v>-0.745608834837988</v>
      </c>
      <c r="G8" s="31"/>
    </row>
    <row r="9" ht="20.05" customHeight="1">
      <c r="B9" s="28"/>
      <c r="C9" s="29">
        <v>6265</v>
      </c>
      <c r="D9" s="30"/>
      <c r="E9" s="31">
        <f>C9/C8-1</f>
        <v>0.0611629600772371</v>
      </c>
      <c r="F9" s="31">
        <f>('Cashflow '!C9+'Cashflow '!D9-C9)/C9</f>
        <v>-0.752290502793296</v>
      </c>
      <c r="G9" s="31"/>
    </row>
    <row r="10" ht="20.05" customHeight="1">
      <c r="B10" s="28"/>
      <c r="C10" s="29">
        <v>6424.1</v>
      </c>
      <c r="D10" s="30"/>
      <c r="E10" s="31">
        <f>C10/C9-1</f>
        <v>0.0253950518754988</v>
      </c>
      <c r="F10" s="31">
        <f>('Cashflow '!C10+'Cashflow '!D10-C10)/C10</f>
        <v>-0.771610030977102</v>
      </c>
      <c r="G10" s="31"/>
    </row>
    <row r="11" ht="20.05" customHeight="1">
      <c r="B11" s="28"/>
      <c r="C11" s="29">
        <v>5626.7</v>
      </c>
      <c r="D11" s="30"/>
      <c r="E11" s="31">
        <f>C11/C10-1</f>
        <v>-0.124126336763126</v>
      </c>
      <c r="F11" s="31">
        <f>('Cashflow '!C11+'Cashflow '!D11-C11)/C11</f>
        <v>-0.756233671601472</v>
      </c>
      <c r="G11" s="31"/>
    </row>
    <row r="12" ht="20.05" customHeight="1">
      <c r="B12" s="32">
        <v>2017</v>
      </c>
      <c r="C12" s="29">
        <v>5675.9</v>
      </c>
      <c r="D12" s="30"/>
      <c r="E12" s="31">
        <f>C12/C11-1</f>
        <v>0.008744024028293671</v>
      </c>
      <c r="F12" s="31">
        <f>('Cashflow '!C12+'Cashflow '!D12-C12)/C12</f>
        <v>-0.729382124420797</v>
      </c>
      <c r="G12" s="31"/>
    </row>
    <row r="13" ht="20.05" customHeight="1">
      <c r="B13" s="28"/>
      <c r="C13" s="29">
        <v>6049.7</v>
      </c>
      <c r="D13" s="30"/>
      <c r="E13" s="31">
        <f>C13/C12-1</f>
        <v>0.06585739706478271</v>
      </c>
      <c r="F13" s="31">
        <f>('Cashflow '!C13+'Cashflow '!D13-C13)/C13</f>
        <v>-0.711638593649272</v>
      </c>
      <c r="G13" s="31"/>
    </row>
    <row r="14" ht="20.05" customHeight="1">
      <c r="B14" s="28"/>
      <c r="C14" s="29">
        <v>5754.6</v>
      </c>
      <c r="D14" s="30"/>
      <c r="E14" s="31">
        <f>C14/C13-1</f>
        <v>-0.0487792783113212</v>
      </c>
      <c r="F14" s="31">
        <f>('Cashflow '!C14+'Cashflow '!D14-C14)/C14</f>
        <v>-0.72894727696104</v>
      </c>
      <c r="G14" s="31"/>
    </row>
    <row r="15" ht="20.05" customHeight="1">
      <c r="B15" s="28"/>
      <c r="C15" s="29">
        <v>5340.2</v>
      </c>
      <c r="D15" s="30"/>
      <c r="E15" s="31">
        <f>C15/C14-1</f>
        <v>-0.072011955652869</v>
      </c>
      <c r="F15" s="31">
        <f>('Cashflow '!C15+'Cashflow '!D15-C15)/C15</f>
        <v>-0.683270289502266</v>
      </c>
      <c r="G15" s="31"/>
    </row>
    <row r="16" ht="20.05" customHeight="1">
      <c r="B16" s="32">
        <v>2018</v>
      </c>
      <c r="C16" s="29">
        <v>5138.9</v>
      </c>
      <c r="D16" s="30"/>
      <c r="E16" s="31">
        <f>C16/C15-1</f>
        <v>-0.0376952174075877</v>
      </c>
      <c r="F16" s="31">
        <f>('Cashflow '!C16+'Cashflow '!D16-C16)/C16</f>
        <v>-0.658993169744498</v>
      </c>
      <c r="G16" s="15">
        <f>AVERAGE(F13:F16)</f>
        <v>-0.695712332464269</v>
      </c>
    </row>
    <row r="17" ht="20.05" customHeight="1">
      <c r="B17" s="28"/>
      <c r="C17" s="29">
        <v>5353.9</v>
      </c>
      <c r="D17" s="30"/>
      <c r="E17" s="31">
        <f>C17/C16-1</f>
        <v>0.0418377473778435</v>
      </c>
      <c r="F17" s="31">
        <f>('Cashflow '!C17+'Cashflow '!D17-C17)/C17</f>
        <v>-0.654662955976017</v>
      </c>
      <c r="G17" s="15">
        <f>AVERAGE(F14:F17)</f>
        <v>-0.681468423045955</v>
      </c>
    </row>
    <row r="18" ht="20.05" customHeight="1">
      <c r="B18" s="28"/>
      <c r="C18" s="29">
        <v>5369.4</v>
      </c>
      <c r="D18" s="30"/>
      <c r="E18" s="31">
        <f>C18/C17-1</f>
        <v>0.00289508582528624</v>
      </c>
      <c r="F18" s="31">
        <f>('Cashflow '!C18+'Cashflow '!D18-C18)/C18</f>
        <v>-0.622527656721421</v>
      </c>
      <c r="G18" s="15">
        <f>AVERAGE(F15:F18)</f>
        <v>-0.654863517986051</v>
      </c>
    </row>
    <row r="19" ht="20.05" customHeight="1">
      <c r="B19" s="28"/>
      <c r="C19" s="29">
        <v>5163</v>
      </c>
      <c r="D19" s="30"/>
      <c r="E19" s="31">
        <f>C19/C18-1</f>
        <v>-0.0384400491675047</v>
      </c>
      <c r="F19" s="31">
        <f>('Cashflow '!C19+'Cashflow '!D19-C19)/C19</f>
        <v>-0.649176835173349</v>
      </c>
      <c r="G19" s="15">
        <f>AVERAGE(F16:F19)</f>
        <v>-0.646340154403821</v>
      </c>
    </row>
    <row r="20" ht="20.05" customHeight="1">
      <c r="B20" s="32">
        <v>2019</v>
      </c>
      <c r="C20" s="29">
        <v>5024.1</v>
      </c>
      <c r="D20" s="30"/>
      <c r="E20" s="31">
        <f>C20/C19-1</f>
        <v>-0.0269029633933759</v>
      </c>
      <c r="F20" s="31">
        <f>('Cashflow '!C20+'Cashflow '!D20-C20)/C20</f>
        <v>-0.630102904002707</v>
      </c>
      <c r="G20" s="15">
        <f>AVERAGE(F17:F20)</f>
        <v>-0.639117587968374</v>
      </c>
    </row>
    <row r="21" ht="20.05" customHeight="1">
      <c r="B21" s="28"/>
      <c r="C21" s="29">
        <v>5409.8</v>
      </c>
      <c r="D21" s="30"/>
      <c r="E21" s="31">
        <f>C21/C20-1</f>
        <v>0.076769968750622</v>
      </c>
      <c r="F21" s="31">
        <f>('Cashflow '!C21+'Cashflow '!D21-C21)/C21</f>
        <v>-0.627158120448076</v>
      </c>
      <c r="G21" s="15">
        <f>AVERAGE(F18:F21)</f>
        <v>-0.632241379086388</v>
      </c>
    </row>
    <row r="22" ht="20.05" customHeight="1">
      <c r="B22" s="28"/>
      <c r="C22" s="29">
        <v>5430.6</v>
      </c>
      <c r="D22" s="30"/>
      <c r="E22" s="31">
        <f>C22/C21-1</f>
        <v>0.0038448741173426</v>
      </c>
      <c r="F22" s="31">
        <f>('Cashflow '!C22+'Cashflow '!D22-C22)/C22</f>
        <v>-0.61971052922329</v>
      </c>
      <c r="G22" s="15">
        <f>AVERAGE(F19:F22)</f>
        <v>-0.631537097211856</v>
      </c>
    </row>
    <row r="23" ht="20.05" customHeight="1">
      <c r="B23" s="28"/>
      <c r="C23" s="29">
        <v>5349</v>
      </c>
      <c r="D23" s="30"/>
      <c r="E23" s="31">
        <f>C23/C22-1</f>
        <v>-0.0150259639818805</v>
      </c>
      <c r="F23" s="31">
        <f>('Cashflow '!C23+'Cashflow '!D23-C23)/C23</f>
        <v>-0.647971583473546</v>
      </c>
      <c r="G23" s="15">
        <f>AVERAGE(F20:F23)</f>
        <v>-0.631235784286905</v>
      </c>
    </row>
    <row r="24" ht="20.05" customHeight="1">
      <c r="B24" s="32">
        <v>2020</v>
      </c>
      <c r="C24" s="29">
        <v>4714.4</v>
      </c>
      <c r="D24" s="19"/>
      <c r="E24" s="31">
        <f>C24/C23-1</f>
        <v>-0.118638997943541</v>
      </c>
      <c r="F24" s="31">
        <f>('Cashflow '!C24+'Cashflow '!D24-C24)/C24</f>
        <v>-0.63036653656881</v>
      </c>
      <c r="G24" s="15">
        <f>AVERAGE(F21:F24)</f>
        <v>-0.631301692428431</v>
      </c>
    </row>
    <row r="25" ht="20.05" customHeight="1">
      <c r="B25" s="28"/>
      <c r="C25" s="29">
        <v>3761.5</v>
      </c>
      <c r="D25" s="19"/>
      <c r="E25" s="31">
        <f>C25/C24-1</f>
        <v>-0.202125403020533</v>
      </c>
      <c r="F25" s="31">
        <f>('Cashflow '!C25+'Cashflow '!D25-C25)/C25</f>
        <v>-0.729522796756613</v>
      </c>
      <c r="G25" s="15">
        <f>AVERAGE(F22:F25)</f>
        <v>-0.656892861505565</v>
      </c>
    </row>
    <row r="26" ht="20.05" customHeight="1">
      <c r="B26" s="28"/>
      <c r="C26" s="29">
        <v>5418</v>
      </c>
      <c r="D26" s="16">
        <v>3949.575</v>
      </c>
      <c r="E26" s="31">
        <f>C26/C25-1</f>
        <v>0.440382826000266</v>
      </c>
      <c r="F26" s="31">
        <f>('Cashflow '!C26+'Cashflow '!D26-C26)/C26</f>
        <v>-0.609449981543005</v>
      </c>
      <c r="G26" s="15">
        <f>AVERAGE(F23:F26)</f>
        <v>-0.654327724585494</v>
      </c>
    </row>
    <row r="27" ht="20.05" customHeight="1">
      <c r="B27" s="28"/>
      <c r="C27" s="12">
        <v>5314</v>
      </c>
      <c r="D27" s="16">
        <v>5418</v>
      </c>
      <c r="E27" s="31">
        <f>C27/C26-1</f>
        <v>-0.0191952750092285</v>
      </c>
      <c r="F27" s="31">
        <f>('Cashflow '!C27+'Cashflow '!D27-C27)/C27</f>
        <v>-0.698532179149417</v>
      </c>
      <c r="G27" s="15">
        <f>AVERAGE(F24:F27)</f>
        <v>-0.666967873504461</v>
      </c>
    </row>
    <row r="28" ht="20.05" customHeight="1">
      <c r="B28" s="32">
        <v>2021</v>
      </c>
      <c r="C28" s="12">
        <v>5125</v>
      </c>
      <c r="D28" s="16">
        <v>5580.54</v>
      </c>
      <c r="E28" s="31">
        <f>C28/C27-1</f>
        <v>-0.0355664283025969</v>
      </c>
      <c r="F28" s="31">
        <f>('Cashflow '!C28+'Cashflow '!D28-C28)/C28</f>
        <v>-0.63190243902439</v>
      </c>
      <c r="G28" s="15">
        <f>AVERAGE(F25:F28)</f>
        <v>-0.667351849118356</v>
      </c>
    </row>
    <row r="29" ht="20.05" customHeight="1">
      <c r="B29" s="28"/>
      <c r="C29" s="12">
        <v>5888</v>
      </c>
      <c r="D29" s="16">
        <v>5227.5</v>
      </c>
      <c r="E29" s="31">
        <f>C29/C28-1</f>
        <v>0.148878048780488</v>
      </c>
      <c r="F29" s="31">
        <f>('Cashflow '!C29+'Cashflow '!D29-C29)/C29</f>
        <v>-0.612941576086957</v>
      </c>
      <c r="G29" s="15">
        <f>AVERAGE(F26:F29)</f>
        <v>-0.638206543950942</v>
      </c>
    </row>
    <row r="30" ht="20.05" customHeight="1">
      <c r="B30" s="28"/>
      <c r="C30" s="12">
        <v>6201.3</v>
      </c>
      <c r="D30" s="16">
        <v>5947</v>
      </c>
      <c r="E30" s="31">
        <f>C30/C29-1</f>
        <v>0.0532099184782609</v>
      </c>
      <c r="F30" s="31">
        <f>('Cashflow '!C30+'Cashflow '!D30-C30)/C30</f>
        <v>-0.605921339074065</v>
      </c>
      <c r="G30" s="15">
        <f>AVERAGE(F27:F30)</f>
        <v>-0.637324383333707</v>
      </c>
    </row>
    <row r="31" ht="20.05" customHeight="1">
      <c r="B31" s="28"/>
      <c r="C31" s="18"/>
      <c r="D31" s="16">
        <f>'Model'!C6</f>
        <v>6077.274</v>
      </c>
      <c r="E31" s="11"/>
      <c r="F31" s="15"/>
      <c r="G31" s="15">
        <f>'Model'!C7</f>
        <v>-0.605921339074065</v>
      </c>
    </row>
    <row r="32" ht="20.05" customHeight="1">
      <c r="B32" s="32">
        <v>2022</v>
      </c>
      <c r="C32" s="18"/>
      <c r="D32" s="16">
        <f>'Model'!D6</f>
        <v>5955.72852</v>
      </c>
      <c r="E32" s="11"/>
      <c r="F32" s="15"/>
      <c r="G32" s="11"/>
    </row>
    <row r="33" ht="20.05" customHeight="1">
      <c r="B33" s="28"/>
      <c r="C33" s="18"/>
      <c r="D33" s="16">
        <f>'Model'!E6</f>
        <v>6551.301372</v>
      </c>
      <c r="E33" s="11"/>
      <c r="F33" s="15"/>
      <c r="G33" s="11"/>
    </row>
    <row r="34" ht="20.05" customHeight="1">
      <c r="B34" s="28"/>
      <c r="C34" s="18"/>
      <c r="D34" s="16">
        <f>'Model'!F6</f>
        <v>6616.81438572</v>
      </c>
      <c r="E34" s="11"/>
      <c r="F34" s="15"/>
      <c r="G34" s="11"/>
    </row>
  </sheetData>
  <mergeCells count="1">
    <mergeCell ref="B2:G2"/>
  </mergeCells>
  <pageMargins left="0.5" right="0.5" top="0.75" bottom="0.75" header="0.277778" footer="0.277778"/>
  <pageSetup firstPageNumber="1" fitToHeight="1" fitToWidth="1" scale="72" useFirstPageNumber="0" orientation="portrait" pageOrder="downThenOver"/>
  <headerFooter>
    <oddFooter>&amp;C&amp;"Helvetica Neue,Regular"&amp;12&amp;K000000&amp;P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B3:N31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6.21875" style="33" customWidth="1"/>
    <col min="2" max="2" width="11.3281" style="33" customWidth="1"/>
    <col min="3" max="14" width="11.3125" style="33" customWidth="1"/>
    <col min="15" max="16384" width="16.3516" style="33" customWidth="1"/>
  </cols>
  <sheetData>
    <row r="1" ht="50.6" customHeight="1"/>
    <row r="2" ht="27.65" customHeight="1">
      <c r="B2" t="s" s="2">
        <v>45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ht="32.25" customHeight="1">
      <c r="B3" t="s" s="23">
        <v>1</v>
      </c>
      <c r="C3" t="s" s="23">
        <v>46</v>
      </c>
      <c r="D3" t="s" s="23">
        <v>47</v>
      </c>
      <c r="E3" t="s" s="23">
        <v>48</v>
      </c>
      <c r="F3" t="s" s="23">
        <v>49</v>
      </c>
      <c r="G3" t="s" s="23">
        <v>8</v>
      </c>
      <c r="H3" t="s" s="23">
        <v>9</v>
      </c>
      <c r="I3" t="s" s="23">
        <v>11</v>
      </c>
      <c r="J3" t="s" s="23">
        <v>25</v>
      </c>
      <c r="K3" t="s" s="23">
        <v>50</v>
      </c>
      <c r="L3" t="s" s="23">
        <v>51</v>
      </c>
      <c r="M3" t="s" s="23">
        <v>45</v>
      </c>
      <c r="N3" t="s" s="23">
        <v>29</v>
      </c>
    </row>
    <row r="4" ht="20.25" customHeight="1">
      <c r="B4" s="24">
        <v>2015</v>
      </c>
      <c r="C4" s="34">
        <v>811.5</v>
      </c>
      <c r="D4" s="35">
        <v>661.5</v>
      </c>
      <c r="E4" s="35">
        <f>G4-D4-C4</f>
        <v>226.5</v>
      </c>
      <c r="F4" s="35">
        <v>-393</v>
      </c>
      <c r="G4" s="35">
        <v>1699.5</v>
      </c>
      <c r="H4" s="35">
        <v>-349.2</v>
      </c>
      <c r="I4" s="35"/>
      <c r="J4" s="35"/>
      <c r="K4" s="35">
        <v>-1593.3</v>
      </c>
      <c r="L4" s="35">
        <f>G4+H4</f>
        <v>1350.3</v>
      </c>
      <c r="M4" s="35"/>
      <c r="N4" s="35">
        <f>-K4</f>
        <v>1593.3</v>
      </c>
    </row>
    <row r="5" ht="20.05" customHeight="1">
      <c r="B5" s="28"/>
      <c r="C5" s="12">
        <v>1202.4</v>
      </c>
      <c r="D5" s="16">
        <v>441.9</v>
      </c>
      <c r="E5" s="16">
        <f>G5-D5-C5</f>
        <v>-130.8</v>
      </c>
      <c r="F5" s="16">
        <v>-416</v>
      </c>
      <c r="G5" s="16">
        <v>1513.5</v>
      </c>
      <c r="H5" s="16">
        <v>-346.5</v>
      </c>
      <c r="I5" s="16"/>
      <c r="J5" s="16"/>
      <c r="K5" s="16">
        <v>1087.6</v>
      </c>
      <c r="L5" s="16">
        <f>G5+H5</f>
        <v>1167</v>
      </c>
      <c r="M5" s="16"/>
      <c r="N5" s="16">
        <f>-K5+N4</f>
        <v>505.7</v>
      </c>
    </row>
    <row r="6" ht="20.05" customHeight="1">
      <c r="B6" s="28"/>
      <c r="C6" s="12">
        <v>1309.2</v>
      </c>
      <c r="D6" s="16">
        <v>443.8</v>
      </c>
      <c r="E6" s="16">
        <f>G6-D6-C6</f>
        <v>194.4</v>
      </c>
      <c r="F6" s="16">
        <v>-413</v>
      </c>
      <c r="G6" s="16">
        <v>1947.4</v>
      </c>
      <c r="H6" s="16">
        <v>-418.5</v>
      </c>
      <c r="I6" s="16"/>
      <c r="J6" s="16"/>
      <c r="K6" s="16">
        <v>-2978.6</v>
      </c>
      <c r="L6" s="16">
        <f>G6+H6</f>
        <v>1528.9</v>
      </c>
      <c r="M6" s="16"/>
      <c r="N6" s="16">
        <f>-K6+N5</f>
        <v>3484.3</v>
      </c>
    </row>
    <row r="7" ht="20.05" customHeight="1">
      <c r="B7" s="28"/>
      <c r="C7" s="12">
        <f>4529.3-SUM(C4:C6)</f>
        <v>1206.2</v>
      </c>
      <c r="D7" s="16">
        <v>294.7</v>
      </c>
      <c r="E7" s="16">
        <f>G7-D7-C7</f>
        <v>-122.2</v>
      </c>
      <c r="F7" s="16">
        <v>-592</v>
      </c>
      <c r="G7" s="16">
        <f>6539.1-SUM(G4:G6)</f>
        <v>1378.7</v>
      </c>
      <c r="H7" s="16">
        <f>-1420-SUM(H4:H6)</f>
        <v>-305.8</v>
      </c>
      <c r="I7" s="16"/>
      <c r="J7" s="16"/>
      <c r="K7" s="16">
        <f>735.3-SUM(K4:K6)</f>
        <v>4219.6</v>
      </c>
      <c r="L7" s="16">
        <f>G7+H7</f>
        <v>1072.9</v>
      </c>
      <c r="M7" s="16"/>
      <c r="N7" s="16">
        <f>-K7+N6</f>
        <v>-735.3</v>
      </c>
    </row>
    <row r="8" ht="20.05" customHeight="1">
      <c r="B8" s="32">
        <v>2016</v>
      </c>
      <c r="C8" s="12">
        <v>1098.6</v>
      </c>
      <c r="D8" s="16">
        <v>403.3</v>
      </c>
      <c r="E8" s="16">
        <f>G8-D8-C8</f>
        <v>217.2</v>
      </c>
      <c r="F8" s="16">
        <v>-392</v>
      </c>
      <c r="G8" s="16">
        <v>1719.1</v>
      </c>
      <c r="H8" s="16">
        <v>-255.9</v>
      </c>
      <c r="I8" s="16"/>
      <c r="J8" s="16"/>
      <c r="K8" s="16">
        <v>-5952.6</v>
      </c>
      <c r="L8" s="16">
        <f>G8+H8</f>
        <v>1463.2</v>
      </c>
      <c r="M8" s="16">
        <f>AVERAGE(L5:L8)</f>
        <v>1308</v>
      </c>
      <c r="N8" s="16">
        <f>-K8+N7</f>
        <v>5217.3</v>
      </c>
    </row>
    <row r="9" ht="20.05" customHeight="1">
      <c r="B9" s="28"/>
      <c r="C9" s="12">
        <v>1092.9</v>
      </c>
      <c r="D9" s="16">
        <v>459</v>
      </c>
      <c r="E9" s="16">
        <f>G9-D9-C9</f>
        <v>-303.5</v>
      </c>
      <c r="F9" s="16">
        <v>-353</v>
      </c>
      <c r="G9" s="16">
        <v>1248.4</v>
      </c>
      <c r="H9" s="16">
        <v>-203.7</v>
      </c>
      <c r="I9" s="16"/>
      <c r="J9" s="16"/>
      <c r="K9" s="16">
        <v>-1136.8</v>
      </c>
      <c r="L9" s="16">
        <f>G9+H9</f>
        <v>1044.7</v>
      </c>
      <c r="M9" s="16">
        <f>AVERAGE(L6:L9)</f>
        <v>1277.425</v>
      </c>
      <c r="N9" s="16">
        <f>-K9+N8</f>
        <v>6354.1</v>
      </c>
    </row>
    <row r="10" ht="20.05" customHeight="1">
      <c r="B10" s="28"/>
      <c r="C10" s="12">
        <v>1275.4</v>
      </c>
      <c r="D10" s="16">
        <v>191.8</v>
      </c>
      <c r="E10" s="16">
        <f>G10-D10-C10</f>
        <v>783.9</v>
      </c>
      <c r="F10" s="16">
        <v>-405</v>
      </c>
      <c r="G10" s="16">
        <v>2251.1</v>
      </c>
      <c r="H10" s="16">
        <v>-351.1</v>
      </c>
      <c r="I10" s="16"/>
      <c r="J10" s="16"/>
      <c r="K10" s="16">
        <v>-2775.7</v>
      </c>
      <c r="L10" s="16">
        <f>G10+H10</f>
        <v>1900</v>
      </c>
      <c r="M10" s="16">
        <f>AVERAGE(L7:L10)</f>
        <v>1370.2</v>
      </c>
      <c r="N10" s="16">
        <f>-K10+N9</f>
        <v>9129.799999999999</v>
      </c>
    </row>
    <row r="11" ht="20.05" customHeight="1">
      <c r="B11" s="28"/>
      <c r="C11" s="12">
        <f>4686.5-SUM(C8:C10)</f>
        <v>1219.6</v>
      </c>
      <c r="D11" s="16">
        <v>152</v>
      </c>
      <c r="E11" s="16">
        <f>G11-D11-C11</f>
        <v>-530.6</v>
      </c>
      <c r="F11" s="16">
        <v>-671</v>
      </c>
      <c r="G11" s="16">
        <f>6059.6-SUM(G8:G10)</f>
        <v>841</v>
      </c>
      <c r="H11" s="16">
        <f>-981.6-SUM(H8:H10)</f>
        <v>-170.9</v>
      </c>
      <c r="I11" s="16"/>
      <c r="J11" s="16"/>
      <c r="K11" s="16">
        <f>-11262.4-SUM(K8:K10)</f>
        <v>-1397.3</v>
      </c>
      <c r="L11" s="16">
        <f>G11+H11</f>
        <v>670.1</v>
      </c>
      <c r="M11" s="16">
        <f>AVERAGE(L8:L11)</f>
        <v>1269.5</v>
      </c>
      <c r="N11" s="16">
        <f>-K11+N10</f>
        <v>10527.1</v>
      </c>
    </row>
    <row r="12" ht="20.05" customHeight="1">
      <c r="B12" s="32">
        <v>2017</v>
      </c>
      <c r="C12" s="12">
        <v>1214.8</v>
      </c>
      <c r="D12" s="16">
        <v>321.2</v>
      </c>
      <c r="E12" s="16">
        <f>G12-D12-C12</f>
        <v>8</v>
      </c>
      <c r="F12" s="16">
        <v>-428</v>
      </c>
      <c r="G12" s="16">
        <v>1544</v>
      </c>
      <c r="H12" s="16">
        <v>138.1</v>
      </c>
      <c r="I12" s="16"/>
      <c r="J12" s="16"/>
      <c r="K12" s="16">
        <v>-587.2</v>
      </c>
      <c r="L12" s="16">
        <f>G12+H12</f>
        <v>1682.1</v>
      </c>
      <c r="M12" s="16">
        <f>AVERAGE(L9:L12)</f>
        <v>1324.225</v>
      </c>
      <c r="N12" s="16">
        <f>-K12+N11</f>
        <v>11114.3</v>
      </c>
    </row>
    <row r="13" ht="20.05" customHeight="1">
      <c r="B13" s="28"/>
      <c r="C13" s="12">
        <v>1395.1</v>
      </c>
      <c r="D13" s="16">
        <v>349.4</v>
      </c>
      <c r="E13" s="16">
        <f>G13-D13-C13</f>
        <v>-531.1</v>
      </c>
      <c r="F13" s="16">
        <v>-369</v>
      </c>
      <c r="G13" s="16">
        <v>1213.4</v>
      </c>
      <c r="H13" s="16">
        <v>-146.8</v>
      </c>
      <c r="I13" s="16"/>
      <c r="J13" s="16"/>
      <c r="K13" s="16">
        <v>-1166.5</v>
      </c>
      <c r="L13" s="16">
        <f>G13+H13</f>
        <v>1066.6</v>
      </c>
      <c r="M13" s="16">
        <f>AVERAGE(L10:L13)</f>
        <v>1329.7</v>
      </c>
      <c r="N13" s="16">
        <f>-K13+N12</f>
        <v>12280.8</v>
      </c>
    </row>
    <row r="14" ht="20.05" customHeight="1">
      <c r="B14" s="28"/>
      <c r="C14" s="12">
        <v>1883.7</v>
      </c>
      <c r="D14" s="16">
        <v>-323.9</v>
      </c>
      <c r="E14" s="16">
        <f>G14-D14-C14</f>
        <v>124.7</v>
      </c>
      <c r="F14" s="16">
        <v>-407</v>
      </c>
      <c r="G14" s="16">
        <v>1684.5</v>
      </c>
      <c r="H14" s="16">
        <v>1174.7</v>
      </c>
      <c r="I14" s="16"/>
      <c r="J14" s="16"/>
      <c r="K14" s="16">
        <v>-2810</v>
      </c>
      <c r="L14" s="16">
        <f>G14+H14</f>
        <v>2859.2</v>
      </c>
      <c r="M14" s="16">
        <f>AVERAGE(L11:L14)</f>
        <v>1569.5</v>
      </c>
      <c r="N14" s="16">
        <f>-K14+N13</f>
        <v>15090.8</v>
      </c>
    </row>
    <row r="15" ht="20.05" customHeight="1">
      <c r="B15" s="28"/>
      <c r="C15" s="12">
        <f>5192.3-SUM(C12:C14)</f>
        <v>698.7</v>
      </c>
      <c r="D15" s="16">
        <v>992.7</v>
      </c>
      <c r="E15" s="16">
        <f>G15-D15-C15</f>
        <v>-582.1</v>
      </c>
      <c r="F15" s="16">
        <v>-650</v>
      </c>
      <c r="G15" s="16">
        <f>5551.2-SUM(G12:G14)</f>
        <v>1109.3</v>
      </c>
      <c r="H15" s="16">
        <f>562-SUM(H12:H14)</f>
        <v>-604</v>
      </c>
      <c r="I15" s="16"/>
      <c r="J15" s="16"/>
      <c r="K15" s="16">
        <f>-5310.8-SUM(K12:K14)</f>
        <v>-747.1</v>
      </c>
      <c r="L15" s="16">
        <f>G15+H15</f>
        <v>505.3</v>
      </c>
      <c r="M15" s="16">
        <f>AVERAGE(L12:L15)</f>
        <v>1528.3</v>
      </c>
      <c r="N15" s="16">
        <f>-K15+N14</f>
        <v>15837.9</v>
      </c>
    </row>
    <row r="16" ht="20.05" customHeight="1">
      <c r="B16" s="32">
        <v>2018</v>
      </c>
      <c r="C16" s="12">
        <v>1375.4</v>
      </c>
      <c r="D16" s="16">
        <v>377</v>
      </c>
      <c r="E16" s="16">
        <f>G16-D16-C16</f>
        <v>-107.2</v>
      </c>
      <c r="F16" s="16">
        <v>-553</v>
      </c>
      <c r="G16" s="16">
        <v>1645.2</v>
      </c>
      <c r="H16" s="16">
        <v>-359.1</v>
      </c>
      <c r="I16" s="16"/>
      <c r="J16" s="16"/>
      <c r="K16" s="16">
        <v>-1306.2</v>
      </c>
      <c r="L16" s="16">
        <f>G16+H16</f>
        <v>1286.1</v>
      </c>
      <c r="M16" s="16">
        <f>AVERAGE(L13:L16)</f>
        <v>1429.3</v>
      </c>
      <c r="N16" s="16">
        <f>-K16+N15</f>
        <v>17144.1</v>
      </c>
    </row>
    <row r="17" ht="20.05" customHeight="1">
      <c r="B17" s="28"/>
      <c r="C17" s="12">
        <v>1496.3</v>
      </c>
      <c r="D17" s="16">
        <v>352.6</v>
      </c>
      <c r="E17" s="16">
        <f>G17-D17-C17</f>
        <v>-510.1</v>
      </c>
      <c r="F17" s="16">
        <v>-611</v>
      </c>
      <c r="G17" s="16">
        <v>1338.8</v>
      </c>
      <c r="H17" s="16">
        <v>-490.8</v>
      </c>
      <c r="I17" s="16"/>
      <c r="J17" s="16"/>
      <c r="K17" s="16">
        <v>-1564.2</v>
      </c>
      <c r="L17" s="16">
        <f>G17+H17</f>
        <v>848</v>
      </c>
      <c r="M17" s="16">
        <f>AVERAGE(L14:L17)</f>
        <v>1374.65</v>
      </c>
      <c r="N17" s="16">
        <f>-K17+N16</f>
        <v>18708.3</v>
      </c>
    </row>
    <row r="18" ht="20.05" customHeight="1">
      <c r="B18" s="28"/>
      <c r="C18" s="12">
        <v>1637.3</v>
      </c>
      <c r="D18" s="16">
        <v>389.5</v>
      </c>
      <c r="E18" s="16">
        <f>G18-D18-C18</f>
        <v>444.3</v>
      </c>
      <c r="F18" s="16">
        <v>-704</v>
      </c>
      <c r="G18" s="16">
        <v>2471.1</v>
      </c>
      <c r="H18" s="16">
        <v>-721.3</v>
      </c>
      <c r="I18" s="16"/>
      <c r="J18" s="16"/>
      <c r="K18" s="16">
        <v>-768</v>
      </c>
      <c r="L18" s="16">
        <f>G18+H18</f>
        <v>1749.8</v>
      </c>
      <c r="M18" s="16">
        <f>AVERAGE(L15:L18)</f>
        <v>1097.3</v>
      </c>
      <c r="N18" s="16">
        <f>-K18+N17</f>
        <v>19476.3</v>
      </c>
    </row>
    <row r="19" ht="20.05" customHeight="1">
      <c r="B19" s="28"/>
      <c r="C19" s="12">
        <f>5924.3-SUM(C16:C18)</f>
        <v>1415.3</v>
      </c>
      <c r="D19" s="16">
        <v>396</v>
      </c>
      <c r="E19" s="16">
        <f>G19-D19-C19</f>
        <v>-299.7</v>
      </c>
      <c r="F19" s="16">
        <v>-874</v>
      </c>
      <c r="G19" s="16">
        <f>6966.7-SUM(G16:G18)</f>
        <v>1511.6</v>
      </c>
      <c r="H19" s="16">
        <f>-2455.1-SUM(H16:H18)</f>
        <v>-883.9</v>
      </c>
      <c r="I19" s="16"/>
      <c r="J19" s="16"/>
      <c r="K19" s="16">
        <f>-5949.6-SUM(K16:K18)</f>
        <v>-2311.2</v>
      </c>
      <c r="L19" s="16">
        <f>G19+H19</f>
        <v>627.7</v>
      </c>
      <c r="M19" s="16">
        <f>AVERAGE(L16:L19)</f>
        <v>1127.9</v>
      </c>
      <c r="N19" s="16">
        <f>-K19+N18</f>
        <v>21787.5</v>
      </c>
    </row>
    <row r="20" ht="20.05" customHeight="1">
      <c r="B20" s="32">
        <v>2019</v>
      </c>
      <c r="C20" s="12">
        <v>1328.4</v>
      </c>
      <c r="D20" s="16">
        <v>530</v>
      </c>
      <c r="E20" s="16">
        <f>G20-D20-C20</f>
        <v>162.2</v>
      </c>
      <c r="F20" s="16">
        <v>-515</v>
      </c>
      <c r="G20" s="16">
        <v>2020.6</v>
      </c>
      <c r="H20" s="16">
        <v>-771.3</v>
      </c>
      <c r="I20" s="16"/>
      <c r="J20" s="16"/>
      <c r="K20" s="16">
        <v>220.7</v>
      </c>
      <c r="L20" s="16">
        <f>G20+H20</f>
        <v>1249.3</v>
      </c>
      <c r="M20" s="16">
        <f>AVERAGE(L17:L20)</f>
        <v>1118.7</v>
      </c>
      <c r="N20" s="16">
        <f>-K20+N19</f>
        <v>21566.8</v>
      </c>
    </row>
    <row r="21" ht="20.05" customHeight="1">
      <c r="B21" s="28"/>
      <c r="C21" s="12">
        <v>1516.9</v>
      </c>
      <c r="D21" s="16">
        <v>500.1</v>
      </c>
      <c r="E21" s="16">
        <f>G21-D21-C21</f>
        <v>-91.5</v>
      </c>
      <c r="F21" s="16">
        <v>-598</v>
      </c>
      <c r="G21" s="16">
        <v>1925.5</v>
      </c>
      <c r="H21" s="16">
        <v>-900</v>
      </c>
      <c r="I21" s="16"/>
      <c r="J21" s="16"/>
      <c r="K21" s="16">
        <v>-2196.1</v>
      </c>
      <c r="L21" s="16">
        <f>G21+H21</f>
        <v>1025.5</v>
      </c>
      <c r="M21" s="16">
        <f>AVERAGE(L18:L21)</f>
        <v>1163.075</v>
      </c>
      <c r="N21" s="16">
        <f>-K21+N20</f>
        <v>23762.9</v>
      </c>
    </row>
    <row r="22" ht="20.05" customHeight="1">
      <c r="B22" s="28"/>
      <c r="C22" s="12">
        <v>1607.9</v>
      </c>
      <c r="D22" s="16">
        <v>457.3</v>
      </c>
      <c r="E22" s="16">
        <f>G22-D22-C22</f>
        <v>221.5</v>
      </c>
      <c r="F22" s="16">
        <v>-545</v>
      </c>
      <c r="G22" s="16">
        <v>2286.7</v>
      </c>
      <c r="H22" s="16">
        <v>-592.8</v>
      </c>
      <c r="I22" s="16"/>
      <c r="J22" s="16"/>
      <c r="K22" s="16">
        <v>-1577.6</v>
      </c>
      <c r="L22" s="16">
        <f>G22+H22</f>
        <v>1693.9</v>
      </c>
      <c r="M22" s="16">
        <f>AVERAGE(L19:L22)</f>
        <v>1149.1</v>
      </c>
      <c r="N22" s="16">
        <f>-K22+N21</f>
        <v>25340.5</v>
      </c>
    </row>
    <row r="23" ht="20.05" customHeight="1">
      <c r="B23" s="28"/>
      <c r="C23" s="12">
        <f>6025.4-SUM(C20:C22)</f>
        <v>1572.2</v>
      </c>
      <c r="D23" s="16">
        <v>310.8</v>
      </c>
      <c r="E23" s="16">
        <f>G23-D23-C23</f>
        <v>6.3</v>
      </c>
      <c r="F23" s="16">
        <v>-736</v>
      </c>
      <c r="G23" s="16">
        <f>8122.1-SUM(G20:G22)</f>
        <v>1889.3</v>
      </c>
      <c r="H23" s="16">
        <f>-3071.1-SUM(H20:H22)</f>
        <v>-807</v>
      </c>
      <c r="I23" s="16"/>
      <c r="J23" s="16"/>
      <c r="K23" s="16">
        <f>-4994.8-SUM(K20:K22)</f>
        <v>-1441.8</v>
      </c>
      <c r="L23" s="16">
        <f>G23+H23</f>
        <v>1082.3</v>
      </c>
      <c r="M23" s="16">
        <f>AVERAGE(L20:L23)</f>
        <v>1262.75</v>
      </c>
      <c r="N23" s="16">
        <f>-K23+N22</f>
        <v>26782.3</v>
      </c>
    </row>
    <row r="24" ht="20.05" customHeight="1">
      <c r="B24" s="32">
        <v>2020</v>
      </c>
      <c r="C24" s="12">
        <v>1106.9</v>
      </c>
      <c r="D24" s="16">
        <v>635.7</v>
      </c>
      <c r="E24" s="16">
        <f>G24-D24-C24</f>
        <v>-196.6</v>
      </c>
      <c r="F24" s="16">
        <v>-483</v>
      </c>
      <c r="G24" s="16">
        <v>1546</v>
      </c>
      <c r="H24" s="16">
        <v>-518.4</v>
      </c>
      <c r="I24" s="16"/>
      <c r="J24" s="16"/>
      <c r="K24" s="16">
        <v>3533</v>
      </c>
      <c r="L24" s="16">
        <f>G24+H24</f>
        <v>1027.6</v>
      </c>
      <c r="M24" s="16">
        <f>AVERAGE(L21:L24)</f>
        <v>1207.325</v>
      </c>
      <c r="N24" s="16">
        <f>-K24+N23</f>
        <v>23249.3</v>
      </c>
    </row>
    <row r="25" ht="20.05" customHeight="1">
      <c r="B25" s="28"/>
      <c r="C25" s="12">
        <v>483.8</v>
      </c>
      <c r="D25" s="16">
        <v>533.6</v>
      </c>
      <c r="E25" s="16">
        <f>G25-D25-C25</f>
        <v>-1230.5</v>
      </c>
      <c r="F25" s="16">
        <v>-305</v>
      </c>
      <c r="G25" s="16">
        <v>-213.1</v>
      </c>
      <c r="H25" s="16">
        <v>-396.6</v>
      </c>
      <c r="I25" s="16"/>
      <c r="J25" s="16"/>
      <c r="K25" s="16">
        <v>-1577.9</v>
      </c>
      <c r="L25" s="16">
        <f>G25+H25</f>
        <v>-609.7</v>
      </c>
      <c r="M25" s="16">
        <f>AVERAGE(L22:L25)</f>
        <v>798.525</v>
      </c>
      <c r="N25" s="16">
        <f>-K25+N24</f>
        <v>24827.2</v>
      </c>
    </row>
    <row r="26" ht="20.05" customHeight="1">
      <c r="B26" s="28"/>
      <c r="C26" s="12">
        <v>1763</v>
      </c>
      <c r="D26" s="16">
        <v>353</v>
      </c>
      <c r="E26" s="16">
        <f>G26-D26-C26</f>
        <v>824</v>
      </c>
      <c r="F26" s="16">
        <v>-390</v>
      </c>
      <c r="G26" s="16">
        <v>2940</v>
      </c>
      <c r="H26" s="16">
        <v>-268</v>
      </c>
      <c r="I26" s="16"/>
      <c r="J26" s="16"/>
      <c r="K26" s="16">
        <v>-2269</v>
      </c>
      <c r="L26" s="16">
        <f>G26+H26</f>
        <v>2672</v>
      </c>
      <c r="M26" s="16">
        <f>AVERAGE(L23:L26)</f>
        <v>1043.05</v>
      </c>
      <c r="N26" s="16">
        <f>-K26+N25</f>
        <v>27096.2</v>
      </c>
    </row>
    <row r="27" ht="20.05" customHeight="1">
      <c r="B27" s="28"/>
      <c r="C27" s="12">
        <v>1377.3</v>
      </c>
      <c r="D27" s="16">
        <v>224.7</v>
      </c>
      <c r="E27" s="16">
        <f>G27-D27-C27</f>
        <v>390.1</v>
      </c>
      <c r="F27" s="16">
        <v>-463</v>
      </c>
      <c r="G27" s="16">
        <v>1992.1</v>
      </c>
      <c r="H27" s="16">
        <v>-363</v>
      </c>
      <c r="I27" s="16"/>
      <c r="J27" s="16"/>
      <c r="K27" s="16">
        <v>-1935.1</v>
      </c>
      <c r="L27" s="16">
        <f>G27+H27</f>
        <v>1629.1</v>
      </c>
      <c r="M27" s="16">
        <f>AVERAGE(L24:L27)</f>
        <v>1179.75</v>
      </c>
      <c r="N27" s="16">
        <f>-K27+N26</f>
        <v>29031.3</v>
      </c>
    </row>
    <row r="28" ht="20.05" customHeight="1">
      <c r="B28" s="32">
        <v>2021</v>
      </c>
      <c r="C28" s="12">
        <v>1537</v>
      </c>
      <c r="D28" s="16">
        <f>454-1.5+27-130</f>
        <v>349.5</v>
      </c>
      <c r="E28" s="16">
        <f>G28-D28-C28</f>
        <v>237.5</v>
      </c>
      <c r="F28" s="16">
        <v>-369</v>
      </c>
      <c r="G28" s="16">
        <v>2124</v>
      </c>
      <c r="H28" s="16">
        <v>-245</v>
      </c>
      <c r="I28" s="16"/>
      <c r="J28" s="16"/>
      <c r="K28" s="16">
        <f>SUM('Model'!C11:F11)</f>
        <v>-7999.22294472</v>
      </c>
      <c r="L28" s="16">
        <f>G28+H28</f>
        <v>1879</v>
      </c>
      <c r="M28" s="16">
        <f>AVERAGE(L25:L28)</f>
        <v>1392.6</v>
      </c>
      <c r="N28" s="16">
        <f>-K28+N27</f>
        <v>37030.52294472</v>
      </c>
    </row>
    <row r="29" ht="20.05" customHeight="1">
      <c r="B29" s="28"/>
      <c r="C29" s="12">
        <v>2219</v>
      </c>
      <c r="D29" s="16">
        <f>463-369+37-71</f>
        <v>60</v>
      </c>
      <c r="E29" s="16">
        <f>G29-D29-C29</f>
        <v>-546</v>
      </c>
      <c r="F29" s="16">
        <v>-483</v>
      </c>
      <c r="G29" s="16">
        <v>1733</v>
      </c>
      <c r="H29" s="16">
        <v>-414</v>
      </c>
      <c r="I29" s="16"/>
      <c r="J29" s="16"/>
      <c r="K29" s="16">
        <v>-1306</v>
      </c>
      <c r="L29" s="16">
        <f>G29+H29</f>
        <v>1319</v>
      </c>
      <c r="M29" s="16">
        <f>AVERAGE(L26:L29)</f>
        <v>1874.775</v>
      </c>
      <c r="N29" s="16">
        <f>-K29+N28</f>
        <v>38336.52294472</v>
      </c>
    </row>
    <row r="30" ht="20.05" customHeight="1">
      <c r="B30" s="28"/>
      <c r="C30" s="12">
        <v>2149.9</v>
      </c>
      <c r="D30" s="16">
        <f>469.2-45.8+34.1-163.6</f>
        <v>293.9</v>
      </c>
      <c r="E30" s="16">
        <f>G30-D30-C30</f>
        <v>174</v>
      </c>
      <c r="F30" s="16">
        <v>-501.5</v>
      </c>
      <c r="G30" s="16">
        <v>2617.8</v>
      </c>
      <c r="H30" s="16">
        <v>-384.9</v>
      </c>
      <c r="I30" s="16">
        <v>-0.7</v>
      </c>
      <c r="J30" s="16">
        <f>K30-I30</f>
        <v>-926.7</v>
      </c>
      <c r="K30" s="16">
        <v>-927.4</v>
      </c>
      <c r="L30" s="16">
        <f>G30+H30</f>
        <v>2232.9</v>
      </c>
      <c r="M30" s="16">
        <f>AVERAGE(L27:L30)</f>
        <v>1765</v>
      </c>
      <c r="N30" s="16">
        <f>-K30+N29</f>
        <v>39263.92294472</v>
      </c>
    </row>
    <row r="31" ht="20.05" customHeight="1">
      <c r="B31" s="28"/>
      <c r="C31" s="12"/>
      <c r="D31" s="16"/>
      <c r="E31" s="16"/>
      <c r="F31" s="16"/>
      <c r="G31" s="16"/>
      <c r="H31" s="16"/>
      <c r="I31" s="16"/>
      <c r="J31" s="16"/>
      <c r="K31" s="16"/>
      <c r="L31" s="16"/>
      <c r="M31" s="16">
        <f>SUM('Model'!C9:F10)/4</f>
        <v>1999.80573618</v>
      </c>
      <c r="N31" s="16">
        <f>'Model'!F32</f>
        <v>47263.14588944</v>
      </c>
    </row>
  </sheetData>
  <mergeCells count="1">
    <mergeCell ref="B2:N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dimension ref="B3:K31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12.0391" style="36" customWidth="1"/>
    <col min="2" max="2" width="9.75" style="36" customWidth="1"/>
    <col min="3" max="11" width="10.7422" style="36" customWidth="1"/>
    <col min="12" max="16384" width="16.3516" style="36" customWidth="1"/>
  </cols>
  <sheetData>
    <row r="1" ht="38.45" customHeight="1"/>
    <row r="2" ht="27.65" customHeight="1">
      <c r="B2" t="s" s="2">
        <v>21</v>
      </c>
      <c r="C2" s="2"/>
      <c r="D2" s="2"/>
      <c r="E2" s="2"/>
      <c r="F2" s="2"/>
      <c r="G2" s="2"/>
      <c r="H2" s="2"/>
      <c r="I2" s="2"/>
      <c r="J2" s="2"/>
      <c r="K2" s="2"/>
    </row>
    <row r="3" ht="32.25" customHeight="1">
      <c r="B3" t="s" s="23">
        <v>1</v>
      </c>
      <c r="C3" t="s" s="23">
        <v>52</v>
      </c>
      <c r="D3" t="s" s="23">
        <v>53</v>
      </c>
      <c r="E3" t="s" s="23">
        <v>22</v>
      </c>
      <c r="F3" t="s" s="23">
        <v>23</v>
      </c>
      <c r="G3" t="s" s="23">
        <v>11</v>
      </c>
      <c r="H3" t="s" s="23">
        <v>25</v>
      </c>
      <c r="I3" t="s" s="23">
        <v>26</v>
      </c>
      <c r="J3" t="s" s="23">
        <v>27</v>
      </c>
      <c r="K3" t="s" s="23">
        <v>34</v>
      </c>
    </row>
    <row r="4" ht="20.25" customHeight="1">
      <c r="B4" s="24">
        <v>2015</v>
      </c>
      <c r="C4" s="25">
        <v>1634.8</v>
      </c>
      <c r="D4" s="35">
        <v>32155.6</v>
      </c>
      <c r="E4" s="35">
        <f>D4-C4</f>
        <v>30520.8</v>
      </c>
      <c r="F4" s="35">
        <f>'Cashflow '!D4</f>
        <v>661.5</v>
      </c>
      <c r="G4" s="35">
        <v>20752.3</v>
      </c>
      <c r="H4" s="35">
        <v>11403.3</v>
      </c>
      <c r="I4" s="35">
        <f>G4+H4-C4-E4</f>
        <v>0</v>
      </c>
      <c r="J4" s="35">
        <f>C4-G4</f>
        <v>-19117.5</v>
      </c>
      <c r="K4" s="35"/>
    </row>
    <row r="5" ht="20.05" customHeight="1">
      <c r="B5" s="28"/>
      <c r="C5" s="29">
        <v>3998.5</v>
      </c>
      <c r="D5" s="16">
        <v>34947.9</v>
      </c>
      <c r="E5" s="16">
        <f>D5-C5</f>
        <v>30949.4</v>
      </c>
      <c r="F5" s="16">
        <f>F4+'Cashflow '!D5</f>
        <v>1103.4</v>
      </c>
      <c r="G5" s="16">
        <v>24387</v>
      </c>
      <c r="H5" s="16">
        <v>10560.9</v>
      </c>
      <c r="I5" s="16">
        <f>G5+H5-C5-E5</f>
        <v>0</v>
      </c>
      <c r="J5" s="16">
        <f>C5-G5</f>
        <v>-20388.5</v>
      </c>
      <c r="K5" s="16"/>
    </row>
    <row r="6" ht="20.05" customHeight="1">
      <c r="B6" s="28"/>
      <c r="C6" s="29">
        <v>2452.5</v>
      </c>
      <c r="D6" s="16">
        <v>32959.5</v>
      </c>
      <c r="E6" s="16">
        <f>D6-C6</f>
        <v>30507</v>
      </c>
      <c r="F6" s="16">
        <f>F5+'Cashflow '!D6</f>
        <v>1547.2</v>
      </c>
      <c r="G6" s="16">
        <v>24649.7</v>
      </c>
      <c r="H6" s="16">
        <v>8309.799999999999</v>
      </c>
      <c r="I6" s="16">
        <f>G6+H6-C6-E6</f>
        <v>0</v>
      </c>
      <c r="J6" s="16">
        <f>C6-G6</f>
        <v>-22197.2</v>
      </c>
      <c r="K6" s="16"/>
    </row>
    <row r="7" ht="20.05" customHeight="1">
      <c r="B7" s="28"/>
      <c r="C7" s="29">
        <v>7685.5</v>
      </c>
      <c r="D7" s="16">
        <v>37938.7</v>
      </c>
      <c r="E7" s="16">
        <f>D7-C7</f>
        <v>30253.2</v>
      </c>
      <c r="F7" s="16">
        <f>F6+'Cashflow '!D7</f>
        <v>1841.9</v>
      </c>
      <c r="G7" s="16">
        <v>30850.8</v>
      </c>
      <c r="H7" s="16">
        <v>7087.9</v>
      </c>
      <c r="I7" s="16">
        <f>G7+H7-C7-E7</f>
        <v>0</v>
      </c>
      <c r="J7" s="16">
        <f>C7-G7</f>
        <v>-23165.3</v>
      </c>
      <c r="K7" s="16"/>
    </row>
    <row r="8" ht="20.05" customHeight="1">
      <c r="B8" s="32">
        <v>2016</v>
      </c>
      <c r="C8" s="29">
        <v>3310.1</v>
      </c>
      <c r="D8" s="16">
        <v>33795.4</v>
      </c>
      <c r="E8" s="16">
        <f>D8-C8</f>
        <v>30485.3</v>
      </c>
      <c r="F8" s="16">
        <f>F7+'Cashflow '!D8</f>
        <v>2245.2</v>
      </c>
      <c r="G8" s="16">
        <v>29932.4</v>
      </c>
      <c r="H8" s="16">
        <v>3863</v>
      </c>
      <c r="I8" s="16">
        <f>G8+H8-C8-E8</f>
        <v>0</v>
      </c>
      <c r="J8" s="16">
        <f>C8-G8</f>
        <v>-26622.3</v>
      </c>
      <c r="K8" s="16"/>
    </row>
    <row r="9" ht="20.05" customHeight="1">
      <c r="B9" s="28"/>
      <c r="C9" s="29">
        <v>3128</v>
      </c>
      <c r="D9" s="16">
        <v>33146.5</v>
      </c>
      <c r="E9" s="16">
        <f>D9-C9</f>
        <v>30018.5</v>
      </c>
      <c r="F9" s="16">
        <f>F8+'Cashflow '!D9</f>
        <v>2704.2</v>
      </c>
      <c r="G9" s="16">
        <v>32506.5</v>
      </c>
      <c r="H9" s="16">
        <v>640</v>
      </c>
      <c r="I9" s="16">
        <f>G9+H9-C9-E9</f>
        <v>0</v>
      </c>
      <c r="J9" s="16">
        <f>C9-G9</f>
        <v>-29378.5</v>
      </c>
      <c r="K9" s="16"/>
    </row>
    <row r="10" ht="20.05" customHeight="1">
      <c r="B10" s="28"/>
      <c r="C10" s="29">
        <v>2266.7</v>
      </c>
      <c r="D10" s="16">
        <v>32486.9</v>
      </c>
      <c r="E10" s="16">
        <f>D10-C10</f>
        <v>30220.2</v>
      </c>
      <c r="F10" s="16">
        <f>F9+'Cashflow '!D10</f>
        <v>2896</v>
      </c>
      <c r="G10" s="16">
        <v>34111</v>
      </c>
      <c r="H10" s="16">
        <v>-1624.1</v>
      </c>
      <c r="I10" s="16">
        <f>G10+H10-C10-E10</f>
        <v>0</v>
      </c>
      <c r="J10" s="16">
        <f>C10-G10</f>
        <v>-31844.3</v>
      </c>
      <c r="K10" s="16"/>
    </row>
    <row r="11" ht="20.05" customHeight="1">
      <c r="B11" s="28"/>
      <c r="C11" s="29">
        <v>1223.4</v>
      </c>
      <c r="D11" s="16">
        <v>31023.9</v>
      </c>
      <c r="E11" s="16">
        <f>D11-C11</f>
        <v>29800.5</v>
      </c>
      <c r="F11" s="16">
        <f>F10+'Cashflow '!D11</f>
        <v>3048</v>
      </c>
      <c r="G11" s="16">
        <v>33228.2</v>
      </c>
      <c r="H11" s="16">
        <v>-2204.3</v>
      </c>
      <c r="I11" s="16">
        <f>G11+H11-C11-E11</f>
        <v>0</v>
      </c>
      <c r="J11" s="16">
        <f>C11-G11</f>
        <v>-32004.8</v>
      </c>
      <c r="K11" s="16"/>
    </row>
    <row r="12" ht="20.05" customHeight="1">
      <c r="B12" s="32">
        <v>2017</v>
      </c>
      <c r="C12" s="29">
        <v>2412.2</v>
      </c>
      <c r="D12" s="16">
        <v>32120.3</v>
      </c>
      <c r="E12" s="16">
        <f>D12-C12</f>
        <v>29708.1</v>
      </c>
      <c r="F12" s="16">
        <f>F11+'Cashflow '!D12</f>
        <v>3369.2</v>
      </c>
      <c r="G12" s="16">
        <v>34151.1</v>
      </c>
      <c r="H12" s="16">
        <v>-2030.8</v>
      </c>
      <c r="I12" s="16">
        <f>G12+H12-C12-E12</f>
        <v>0</v>
      </c>
      <c r="J12" s="16">
        <f>C12-G12</f>
        <v>-31738.9</v>
      </c>
      <c r="K12" s="16"/>
    </row>
    <row r="13" ht="20.05" customHeight="1">
      <c r="B13" s="28"/>
      <c r="C13" s="29">
        <v>2392.4</v>
      </c>
      <c r="D13" s="16">
        <v>32785.2</v>
      </c>
      <c r="E13" s="16">
        <f>D13-C13</f>
        <v>30392.8</v>
      </c>
      <c r="F13" s="16">
        <f>F12+'Cashflow '!D13</f>
        <v>3718.6</v>
      </c>
      <c r="G13" s="16">
        <v>34785.8</v>
      </c>
      <c r="H13" s="16">
        <v>-2000.6</v>
      </c>
      <c r="I13" s="16">
        <f>G13+H13-C13-E13</f>
        <v>0</v>
      </c>
      <c r="J13" s="16">
        <f>C13-G13</f>
        <v>-32393.4</v>
      </c>
      <c r="K13" s="16"/>
    </row>
    <row r="14" ht="20.05" customHeight="1">
      <c r="B14" s="28"/>
      <c r="C14" s="29">
        <v>2671.2</v>
      </c>
      <c r="D14" s="16">
        <v>32559.6</v>
      </c>
      <c r="E14" s="16">
        <f>D14-C14</f>
        <v>29888.4</v>
      </c>
      <c r="F14" s="16">
        <f>F13+'Cashflow '!D14</f>
        <v>3394.7</v>
      </c>
      <c r="G14" s="16">
        <v>36037.2</v>
      </c>
      <c r="H14" s="16">
        <v>-3477.6</v>
      </c>
      <c r="I14" s="16">
        <f>G14+H14-C14-E14</f>
        <v>0</v>
      </c>
      <c r="J14" s="16">
        <f>C14-G14</f>
        <v>-33366</v>
      </c>
      <c r="K14" s="16"/>
    </row>
    <row r="15" ht="20.05" customHeight="1">
      <c r="B15" s="28"/>
      <c r="C15" s="29">
        <v>2463.8</v>
      </c>
      <c r="D15" s="16">
        <v>33803.7</v>
      </c>
      <c r="E15" s="16">
        <f>D15-C15</f>
        <v>31339.9</v>
      </c>
      <c r="F15" s="16">
        <f>F14+'Cashflow '!D15</f>
        <v>4387.4</v>
      </c>
      <c r="G15" s="16">
        <v>37071.7</v>
      </c>
      <c r="H15" s="16">
        <v>-3268</v>
      </c>
      <c r="I15" s="16">
        <f>G15+H15-C15-E15</f>
        <v>0</v>
      </c>
      <c r="J15" s="16">
        <f>C15-G15</f>
        <v>-34607.9</v>
      </c>
      <c r="K15" s="16"/>
    </row>
    <row r="16" ht="20.05" customHeight="1">
      <c r="B16" s="32">
        <v>2018</v>
      </c>
      <c r="C16" s="29">
        <v>2468</v>
      </c>
      <c r="D16" s="16">
        <v>33722.9</v>
      </c>
      <c r="E16" s="16">
        <f>D16-C16</f>
        <v>31254.9</v>
      </c>
      <c r="F16" s="16">
        <f>F15+'Cashflow '!D16</f>
        <v>4764.4</v>
      </c>
      <c r="G16" s="16">
        <v>38441.7</v>
      </c>
      <c r="H16" s="16">
        <v>-4718.8</v>
      </c>
      <c r="I16" s="16">
        <f>G16+H16-C16-E16</f>
        <v>0</v>
      </c>
      <c r="J16" s="16">
        <f>C16-G16</f>
        <v>-35973.7</v>
      </c>
      <c r="K16" s="16"/>
    </row>
    <row r="17" ht="20.05" customHeight="1">
      <c r="B17" s="28"/>
      <c r="C17" s="29">
        <v>1623.5</v>
      </c>
      <c r="D17" s="16">
        <v>32708.4</v>
      </c>
      <c r="E17" s="16">
        <f>D17-C17</f>
        <v>31084.9</v>
      </c>
      <c r="F17" s="16">
        <f>F16+'Cashflow '!D17</f>
        <v>5117</v>
      </c>
      <c r="G17" s="16">
        <v>38559.4</v>
      </c>
      <c r="H17" s="16">
        <v>-5851</v>
      </c>
      <c r="I17" s="16">
        <f>G17+H17-C17-E17</f>
        <v>0</v>
      </c>
      <c r="J17" s="16">
        <f>C17-G17</f>
        <v>-36935.9</v>
      </c>
      <c r="K17" s="16"/>
    </row>
    <row r="18" ht="20.05" customHeight="1">
      <c r="B18" s="28"/>
      <c r="C18" s="12">
        <v>2574.5</v>
      </c>
      <c r="D18" s="16">
        <v>34053.7</v>
      </c>
      <c r="E18" s="16">
        <f>D18-C18</f>
        <v>31479.2</v>
      </c>
      <c r="F18" s="16">
        <f>F17+'Cashflow '!D18</f>
        <v>5506.5</v>
      </c>
      <c r="G18" s="16">
        <v>40846.3</v>
      </c>
      <c r="H18" s="16">
        <v>-6792.6</v>
      </c>
      <c r="I18" s="16">
        <f>G18+H18-C18-E18</f>
        <v>0</v>
      </c>
      <c r="J18" s="16">
        <f>C18-G18</f>
        <v>-38271.8</v>
      </c>
      <c r="K18" s="16"/>
    </row>
    <row r="19" ht="20.05" customHeight="1">
      <c r="B19" s="28"/>
      <c r="C19" s="12">
        <v>866</v>
      </c>
      <c r="D19" s="16">
        <v>32811.2</v>
      </c>
      <c r="E19" s="16">
        <f>D19-C19</f>
        <v>31945.2</v>
      </c>
      <c r="F19" s="16">
        <f>F18+'Cashflow '!D19</f>
        <v>5902.5</v>
      </c>
      <c r="G19" s="16">
        <v>39069.6</v>
      </c>
      <c r="H19" s="16">
        <v>-6258.4</v>
      </c>
      <c r="I19" s="16">
        <f>G19+H19-C19-E19</f>
        <v>0</v>
      </c>
      <c r="J19" s="16">
        <f>C19-G19</f>
        <v>-38203.6</v>
      </c>
      <c r="K19" s="16"/>
    </row>
    <row r="20" ht="20.05" customHeight="1">
      <c r="B20" s="32">
        <v>2019</v>
      </c>
      <c r="C20" s="12">
        <v>2289.1</v>
      </c>
      <c r="D20" s="16">
        <v>46466.6</v>
      </c>
      <c r="E20" s="16">
        <f>D20-C20</f>
        <v>44177.5</v>
      </c>
      <c r="F20" s="16">
        <f>F19+'Cashflow '!D20</f>
        <v>6432.5</v>
      </c>
      <c r="G20" s="16">
        <v>53017.5</v>
      </c>
      <c r="H20" s="16">
        <v>-6550.9</v>
      </c>
      <c r="I20" s="16">
        <f>G20+H20-C20-E20</f>
        <v>0</v>
      </c>
      <c r="J20" s="16">
        <f>C20-G20</f>
        <v>-50728.4</v>
      </c>
      <c r="K20" s="16"/>
    </row>
    <row r="21" ht="20.05" customHeight="1">
      <c r="B21" s="28"/>
      <c r="C21" s="12">
        <v>1134.5</v>
      </c>
      <c r="D21" s="16">
        <v>46199.8</v>
      </c>
      <c r="E21" s="16">
        <f>D21-C21</f>
        <v>45065.3</v>
      </c>
      <c r="F21" s="16">
        <f>F20+'Cashflow '!D21</f>
        <v>6932.6</v>
      </c>
      <c r="G21" s="16">
        <v>53008.6</v>
      </c>
      <c r="H21" s="16">
        <v>-6808.8</v>
      </c>
      <c r="I21" s="16">
        <f>G21+H21-C21-E21</f>
        <v>0</v>
      </c>
      <c r="J21" s="16">
        <f>C21-G21</f>
        <v>-51874.1</v>
      </c>
      <c r="K21" s="16"/>
    </row>
    <row r="22" ht="20.05" customHeight="1">
      <c r="B22" s="28"/>
      <c r="C22" s="12">
        <v>1177.3</v>
      </c>
      <c r="D22" s="16">
        <v>45805</v>
      </c>
      <c r="E22" s="16">
        <f>D22-C22</f>
        <v>44627.7</v>
      </c>
      <c r="F22" s="16">
        <f>F21+'Cashflow '!D22</f>
        <v>7389.9</v>
      </c>
      <c r="G22" s="16">
        <v>54404.2</v>
      </c>
      <c r="H22" s="16">
        <v>-8599.200000000001</v>
      </c>
      <c r="I22" s="16">
        <f>G22+H22-C22-E22</f>
        <v>0</v>
      </c>
      <c r="J22" s="16">
        <f>C22-G22</f>
        <v>-53226.9</v>
      </c>
      <c r="K22" s="16"/>
    </row>
    <row r="23" ht="20.05" customHeight="1">
      <c r="B23" s="28"/>
      <c r="C23" s="12">
        <v>898.5</v>
      </c>
      <c r="D23" s="16">
        <v>47510.8</v>
      </c>
      <c r="E23" s="16">
        <f>D23-C23</f>
        <v>46612.3</v>
      </c>
      <c r="F23" s="16">
        <f>F22+'Cashflow '!D23</f>
        <v>7700.7</v>
      </c>
      <c r="G23" s="16">
        <v>55721.1</v>
      </c>
      <c r="H23" s="16">
        <v>-8210.299999999999</v>
      </c>
      <c r="I23" s="16">
        <f>G23+H23-C23-E23</f>
        <v>0</v>
      </c>
      <c r="J23" s="16">
        <f>C23-G23</f>
        <v>-54822.6</v>
      </c>
      <c r="K23" s="16"/>
    </row>
    <row r="24" ht="20.05" customHeight="1">
      <c r="B24" s="32">
        <v>2020</v>
      </c>
      <c r="C24" s="12">
        <v>5379.8</v>
      </c>
      <c r="D24" s="16">
        <v>50568</v>
      </c>
      <c r="E24" s="16">
        <f>D24-C24</f>
        <v>45188.2</v>
      </c>
      <c r="F24" s="16">
        <f>F23+'Cashflow '!D24</f>
        <v>8336.4</v>
      </c>
      <c r="G24" s="16">
        <v>59861.4</v>
      </c>
      <c r="H24" s="16">
        <v>-9293.4</v>
      </c>
      <c r="I24" s="16">
        <f>G24+H24-C24-E24</f>
        <v>0</v>
      </c>
      <c r="J24" s="16">
        <f>C24-G24</f>
        <v>-54481.6</v>
      </c>
      <c r="K24" s="16"/>
    </row>
    <row r="25" ht="20.05" customHeight="1">
      <c r="B25" s="28"/>
      <c r="C25" s="12">
        <v>3255.7</v>
      </c>
      <c r="D25" s="16">
        <v>49938.9</v>
      </c>
      <c r="E25" s="16">
        <f>D25-C25</f>
        <v>46683.2</v>
      </c>
      <c r="F25" s="16">
        <f>F24+'Cashflow '!D25</f>
        <v>8870</v>
      </c>
      <c r="G25" s="16">
        <v>59402</v>
      </c>
      <c r="H25" s="16">
        <v>-9463.1</v>
      </c>
      <c r="I25" s="16">
        <f>G25+H25-C25-E25</f>
        <v>0</v>
      </c>
      <c r="J25" s="16">
        <f>C25-G25</f>
        <v>-56146.3</v>
      </c>
      <c r="K25" s="16"/>
    </row>
    <row r="26" ht="20.05" customHeight="1">
      <c r="B26" s="28"/>
      <c r="C26" s="12">
        <v>3684</v>
      </c>
      <c r="D26" s="16">
        <v>50699</v>
      </c>
      <c r="E26" s="16">
        <f>D26-C26</f>
        <v>47015</v>
      </c>
      <c r="F26" s="16">
        <f>F25+'Cashflow '!D26</f>
        <v>9223</v>
      </c>
      <c r="G26" s="16">
        <v>59171</v>
      </c>
      <c r="H26" s="16">
        <v>-8472</v>
      </c>
      <c r="I26" s="16">
        <f>G26+H26-C26-E26</f>
        <v>0</v>
      </c>
      <c r="J26" s="16">
        <f>C26-G26</f>
        <v>-55487</v>
      </c>
      <c r="K26" s="16"/>
    </row>
    <row r="27" ht="20.05" customHeight="1">
      <c r="B27" s="28"/>
      <c r="C27" s="12">
        <v>3449</v>
      </c>
      <c r="D27" s="16">
        <v>52627</v>
      </c>
      <c r="E27" s="16">
        <f>D27-C27</f>
        <v>49178</v>
      </c>
      <c r="F27" s="16">
        <f>F26+'Cashflow '!D27</f>
        <v>9447.700000000001</v>
      </c>
      <c r="G27" s="16">
        <v>60452</v>
      </c>
      <c r="H27" s="16">
        <v>-7825</v>
      </c>
      <c r="I27" s="16">
        <f>G27+H27-C27-E27</f>
        <v>0</v>
      </c>
      <c r="J27" s="16">
        <f>C27-G27</f>
        <v>-57003</v>
      </c>
      <c r="K27" s="19"/>
    </row>
    <row r="28" ht="20.05" customHeight="1">
      <c r="B28" s="32">
        <v>2021</v>
      </c>
      <c r="C28" s="12">
        <v>3020</v>
      </c>
      <c r="D28" s="16">
        <v>51103</v>
      </c>
      <c r="E28" s="16">
        <f>D28-C28</f>
        <v>48083</v>
      </c>
      <c r="F28" s="16">
        <f>F27+'Cashflow '!D28</f>
        <v>9797.200000000001</v>
      </c>
      <c r="G28" s="16">
        <f>51103+7236</f>
        <v>58339</v>
      </c>
      <c r="H28" s="16">
        <v>-7236</v>
      </c>
      <c r="I28" s="16">
        <f>G28+H28-C28-E28</f>
        <v>0</v>
      </c>
      <c r="J28" s="16">
        <f>C28-G28</f>
        <v>-55319</v>
      </c>
      <c r="K28" s="16"/>
    </row>
    <row r="29" ht="20.05" customHeight="1">
      <c r="B29" s="28"/>
      <c r="C29" s="12">
        <v>3049</v>
      </c>
      <c r="D29" s="16">
        <v>51893</v>
      </c>
      <c r="E29" s="16">
        <f>D29-C29</f>
        <v>48844</v>
      </c>
      <c r="F29" s="16">
        <f>F28+'Cashflow '!D29</f>
        <v>9857.200000000001</v>
      </c>
      <c r="G29" s="16">
        <v>57701</v>
      </c>
      <c r="H29" s="16">
        <v>-5808</v>
      </c>
      <c r="I29" s="16">
        <f>G29+H29-C29-E29</f>
        <v>0</v>
      </c>
      <c r="J29" s="16">
        <f>C29-G29</f>
        <v>-54652</v>
      </c>
      <c r="K29" s="16"/>
    </row>
    <row r="30" ht="20.05" customHeight="1">
      <c r="B30" s="28"/>
      <c r="C30" s="12">
        <v>4305.8</v>
      </c>
      <c r="D30" s="16">
        <v>52727</v>
      </c>
      <c r="E30" s="16">
        <f>D30-C30</f>
        <v>48421.2</v>
      </c>
      <c r="F30" s="16">
        <f>F29+'Cashflow '!D30</f>
        <v>10151.1</v>
      </c>
      <c r="G30" s="16">
        <f>D30--5675</f>
        <v>58402</v>
      </c>
      <c r="H30" s="16">
        <v>-5675</v>
      </c>
      <c r="I30" s="16">
        <f>G30+H30-C30-E30</f>
        <v>0</v>
      </c>
      <c r="J30" s="16">
        <f>C30-G30</f>
        <v>-54096.2</v>
      </c>
      <c r="K30" s="16">
        <f>J30</f>
        <v>-54096.2</v>
      </c>
    </row>
    <row r="31" ht="20.05" customHeight="1">
      <c r="B31" s="28"/>
      <c r="C31" s="12"/>
      <c r="D31" s="16"/>
      <c r="E31" s="16"/>
      <c r="F31" s="16"/>
      <c r="G31" s="16"/>
      <c r="H31" s="16"/>
      <c r="I31" s="16"/>
      <c r="J31" s="16"/>
      <c r="K31" s="16">
        <f>'Model'!F30</f>
        <v>-52225.913116584</v>
      </c>
    </row>
  </sheetData>
  <mergeCells count="1">
    <mergeCell ref="B2:K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dimension ref="A2:C19"/>
  <sheetViews>
    <sheetView workbookViewId="0" showGridLines="0" defaultGridColor="1">
      <pane topLeftCell="B3" xSplit="1" ySplit="2" activePane="bottomRight" state="frozen"/>
    </sheetView>
  </sheetViews>
  <sheetFormatPr defaultColWidth="16.3333" defaultRowHeight="19.9" customHeight="1" outlineLevelRow="0" outlineLevelCol="0"/>
  <cols>
    <col min="1" max="1" width="8" style="37" customWidth="1"/>
    <col min="2" max="3" width="10.0156" style="37" customWidth="1"/>
    <col min="4" max="16384" width="16.3516" style="37" customWidth="1"/>
  </cols>
  <sheetData>
    <row r="1" ht="27.65" customHeight="1">
      <c r="A1" t="s" s="2">
        <v>54</v>
      </c>
      <c r="B1" s="2"/>
      <c r="C1" s="2"/>
    </row>
    <row r="2" ht="20.25" customHeight="1">
      <c r="A2" s="4"/>
      <c r="B2" t="s" s="23">
        <v>54</v>
      </c>
      <c r="C2" t="s" s="3">
        <v>37</v>
      </c>
    </row>
    <row r="3" ht="20.25" customHeight="1">
      <c r="A3" s="24">
        <v>2018</v>
      </c>
      <c r="B3" s="38">
        <v>156.38</v>
      </c>
      <c r="C3" s="35"/>
    </row>
    <row r="4" ht="20.05" customHeight="1">
      <c r="A4" s="28"/>
      <c r="B4" s="39">
        <v>156.69</v>
      </c>
      <c r="C4" s="16"/>
    </row>
    <row r="5" ht="20.05" customHeight="1">
      <c r="A5" s="28"/>
      <c r="B5" s="39">
        <v>167.29</v>
      </c>
      <c r="C5" s="16"/>
    </row>
    <row r="6" ht="20.05" customHeight="1">
      <c r="A6" s="28"/>
      <c r="B6" s="39">
        <v>177.57</v>
      </c>
      <c r="C6" s="16"/>
    </row>
    <row r="7" ht="20.05" customHeight="1">
      <c r="A7" s="32">
        <v>2019</v>
      </c>
      <c r="B7" s="39">
        <v>189.9</v>
      </c>
      <c r="C7" s="16"/>
    </row>
    <row r="8" ht="20.05" customHeight="1">
      <c r="A8" s="28"/>
      <c r="B8" s="39">
        <v>207.66</v>
      </c>
      <c r="C8" s="16"/>
    </row>
    <row r="9" ht="20.05" customHeight="1">
      <c r="A9" s="28"/>
      <c r="B9" s="39">
        <v>214.71</v>
      </c>
      <c r="C9" s="16"/>
    </row>
    <row r="10" ht="20.05" customHeight="1">
      <c r="A10" s="28"/>
      <c r="B10" s="39">
        <v>197.61</v>
      </c>
      <c r="C10" s="16"/>
    </row>
    <row r="11" ht="20.05" customHeight="1">
      <c r="A11" s="32">
        <v>2020</v>
      </c>
      <c r="B11" s="39">
        <v>165.35</v>
      </c>
      <c r="C11" s="16"/>
    </row>
    <row r="12" ht="20.05" customHeight="1">
      <c r="A12" s="28"/>
      <c r="B12" s="39">
        <v>184.47</v>
      </c>
      <c r="C12" s="40"/>
    </row>
    <row r="13" ht="20.05" customHeight="1">
      <c r="A13" s="28"/>
      <c r="B13" s="41">
        <v>219.490005</v>
      </c>
      <c r="C13" s="20"/>
    </row>
    <row r="14" ht="20.05" customHeight="1">
      <c r="A14" s="28"/>
      <c r="B14" s="12">
        <v>211.559998</v>
      </c>
      <c r="C14" s="40">
        <v>269.274692113705</v>
      </c>
    </row>
    <row r="15" ht="20.05" customHeight="1">
      <c r="A15" s="32">
        <v>2021</v>
      </c>
      <c r="B15" s="41">
        <v>224.139999</v>
      </c>
      <c r="C15" s="40">
        <v>262.936733636516</v>
      </c>
    </row>
    <row r="16" ht="20.05" customHeight="1">
      <c r="A16" s="28"/>
      <c r="B16" s="41">
        <v>230.99</v>
      </c>
      <c r="C16" s="40">
        <v>264.573030084948</v>
      </c>
    </row>
    <row r="17" ht="20.05" customHeight="1">
      <c r="A17" s="28"/>
      <c r="B17" s="41">
        <v>242.93</v>
      </c>
      <c r="C17" s="20"/>
    </row>
    <row r="18" ht="20.05" customHeight="1">
      <c r="A18" s="28"/>
      <c r="B18" s="41">
        <v>264.97</v>
      </c>
      <c r="C18" s="40">
        <f>B18</f>
        <v>264.97</v>
      </c>
    </row>
    <row r="19" ht="20.05" customHeight="1">
      <c r="A19" s="28"/>
      <c r="B19" s="41"/>
      <c r="C19" s="19">
        <f>'Model'!F42</f>
        <v>310.439742455613</v>
      </c>
    </row>
  </sheetData>
  <mergeCells count="1">
    <mergeCell ref="A1:C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