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<sst xmlns="http://schemas.openxmlformats.org/spreadsheetml/2006/main" uniqueCount="60">
  <si>
    <t>Financial model</t>
  </si>
  <si>
    <t>$m</t>
  </si>
  <si>
    <t>4Q 2021</t>
  </si>
  <si>
    <t>Cash flow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</si>
  <si>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</si>
  <si>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</si>
  <si>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</si>
  <si>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</si>
  <si>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</si>
  <si>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</si>
  <si>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</si>
  <si>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</si>
  <si>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</si>
  <si>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</si>
  <si>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</si>
  <si>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</si>
  <si>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</si>
  <si>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</si>
  <si>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</si>
  <si>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</si>
  <si>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</si>
  <si>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</si>
  <si>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</si>
  <si>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</si>
  <si>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</si>
  <si>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</si>
  <si>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</si>
  <si>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</si>
  <si>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</si>
  <si>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>Rupiah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</si>
  <si>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</si>
  <si>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</si>
  <si>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</si>
  <si>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</si>
  <si>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</si>
  <si>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</si>
  <si>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</si>
  <si>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</si>
  <si>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</si>
  <si>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</si>
  <si>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</si>
  <si>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</si>
  <si>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</si>
  <si>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</si>
  <si>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>Impairement</t>
  </si>
  <si>
    <t xml:space="preserve">Sales growth </t>
  </si>
  <si>
    <t xml:space="preserve">Cost ratio </t>
  </si>
  <si>
    <t>Cashflow costs</t>
  </si>
  <si>
    <t>Cash flow quarterly</t>
  </si>
  <si>
    <t>Receipts</t>
  </si>
  <si>
    <t xml:space="preserve">Operating </t>
  </si>
  <si>
    <t>Capex</t>
  </si>
  <si>
    <t xml:space="preserve">Investment </t>
  </si>
  <si>
    <t>Interest</t>
  </si>
  <si>
    <t xml:space="preserve">Free cashflow </t>
  </si>
  <si>
    <t>Cash</t>
  </si>
  <si>
    <t>Assets</t>
  </si>
  <si>
    <t>Check</t>
  </si>
  <si>
    <t>Share price</t>
  </si>
  <si>
    <t>MBSS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</si>
</sst>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.0_);[Red]\(#,##0.0\)"/>
    <numFmt numFmtId="60" formatCode="#,##0.0"/>
    <numFmt numFmtId="61" formatCode="#,##0%"/>
    <numFmt numFmtId="62" formatCode="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60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62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440214</xdr:colOff>
      <xdr:row>1</xdr:row>
      <xdr:rowOff>279633</xdr:rowOff>
    </xdr:from>
    <xdr:to>
      <xdr:col>13</xdr:col>
      <xdr:colOff>251167</xdr:colOff>
      <xdr:row>46</xdr:row>
      <xdr:rowOff>116130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85214" y="581893"/>
          <a:ext cx="8523154" cy="1139667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53906" style="1" customWidth="1"/>
    <col min="2" max="2" width="17.1719" style="1" customWidth="1"/>
    <col min="3" max="6" width="8.65625" style="1" customWidth="1"/>
    <col min="7" max="16384" width="16.3516" style="1" customWidth="1"/>
  </cols>
  <sheetData>
    <row r="1" ht="23.8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4">
        <v>2</v>
      </c>
      <c r="D3" s="5"/>
      <c r="E3" s="5"/>
      <c r="F3" s="5"/>
    </row>
    <row r="4" ht="20.25" customHeight="1">
      <c r="B4" t="s" s="6">
        <v>3</v>
      </c>
      <c r="C4" s="7">
        <f>AVERAGE('Sales'!H27:H30)</f>
        <v>0.147086028494642</v>
      </c>
      <c r="D4" s="8"/>
      <c r="E4" s="8"/>
      <c r="F4" s="9">
        <f>AVERAGE(C5:F5)</f>
        <v>0.035</v>
      </c>
    </row>
    <row r="5" ht="20.05" customHeight="1">
      <c r="B5" t="s" s="10">
        <v>4</v>
      </c>
      <c r="C5" s="11">
        <v>0.1</v>
      </c>
      <c r="D5" s="12">
        <v>-0.03</v>
      </c>
      <c r="E5" s="12">
        <v>0.03</v>
      </c>
      <c r="F5" s="12">
        <v>0.04</v>
      </c>
    </row>
    <row r="6" ht="20.05" customHeight="1">
      <c r="B6" t="s" s="10">
        <v>5</v>
      </c>
      <c r="C6" s="13">
        <f>'Sales'!C30*(1+C5)</f>
        <v>22.44</v>
      </c>
      <c r="D6" s="14">
        <f>C6*(1+D5)</f>
        <v>21.7668</v>
      </c>
      <c r="E6" s="14">
        <f>D6*(1+E5)</f>
        <v>22.419804</v>
      </c>
      <c r="F6" s="14">
        <f>E6*(1+F5)</f>
        <v>23.31659616</v>
      </c>
    </row>
    <row r="7" ht="20.05" customHeight="1">
      <c r="B7" t="s" s="10">
        <v>6</v>
      </c>
      <c r="C7" s="11">
        <f>AVERAGE('Sales'!I30:J30)</f>
        <v>-0.685008721063767</v>
      </c>
      <c r="D7" s="12">
        <f>C7</f>
        <v>-0.685008721063767</v>
      </c>
      <c r="E7" s="12">
        <f>D7</f>
        <v>-0.685008721063767</v>
      </c>
      <c r="F7" s="12">
        <f>E7</f>
        <v>-0.685008721063767</v>
      </c>
    </row>
    <row r="8" ht="20.05" customHeight="1">
      <c r="B8" t="s" s="10">
        <v>7</v>
      </c>
      <c r="C8" s="15">
        <f>C7*C6</f>
        <v>-15.3715957006709</v>
      </c>
      <c r="D8" s="16">
        <f>D7*D6</f>
        <v>-14.9104478296508</v>
      </c>
      <c r="E8" s="16">
        <f>E7*E6</f>
        <v>-15.3577612645403</v>
      </c>
      <c r="F8" s="16">
        <f>F7*F6</f>
        <v>-15.9720717151219</v>
      </c>
    </row>
    <row r="9" ht="20.05" customHeight="1">
      <c r="B9" t="s" s="10">
        <v>8</v>
      </c>
      <c r="C9" s="15">
        <f>C6+C8</f>
        <v>7.0684042993291</v>
      </c>
      <c r="D9" s="16">
        <f>D6+D8</f>
        <v>6.8563521703492</v>
      </c>
      <c r="E9" s="16">
        <f>E6+E8</f>
        <v>7.0620427354597</v>
      </c>
      <c r="F9" s="16">
        <f>F6+F8</f>
        <v>7.3445244448781</v>
      </c>
    </row>
    <row r="10" ht="20.05" customHeight="1">
      <c r="B10" t="s" s="10">
        <v>9</v>
      </c>
      <c r="C10" s="15">
        <f>AVERAGE('Cashflow '!E30)</f>
        <v>-2.2</v>
      </c>
      <c r="D10" s="16">
        <f>C10</f>
        <v>-2.2</v>
      </c>
      <c r="E10" s="16">
        <f>D10</f>
        <v>-2.2</v>
      </c>
      <c r="F10" s="16">
        <f>E10</f>
        <v>-2.2</v>
      </c>
    </row>
    <row r="11" ht="20.05" customHeight="1">
      <c r="B11" t="s" s="10">
        <v>10</v>
      </c>
      <c r="C11" s="15">
        <f>C12+C13+C15</f>
        <v>-1.72184042993291</v>
      </c>
      <c r="D11" s="16">
        <f>D12+D13+D15</f>
        <v>-3.02115565110476</v>
      </c>
      <c r="E11" s="16">
        <f>E12+E13+E15</f>
        <v>-3.03465032063791</v>
      </c>
      <c r="F11" s="16">
        <f>F12+F13+F15</f>
        <v>-3.07359295846343</v>
      </c>
    </row>
    <row r="12" ht="20.05" customHeight="1">
      <c r="B12" t="s" s="10">
        <v>11</v>
      </c>
      <c r="C12" s="15">
        <f>-('Balance sheet'!G30)/20</f>
        <v>-1.015</v>
      </c>
      <c r="D12" s="16">
        <f>-C26/20</f>
        <v>-0.9642500000000001</v>
      </c>
      <c r="E12" s="16">
        <f>-D26/20</f>
        <v>-0.9160374999999999</v>
      </c>
      <c r="F12" s="16">
        <f>-E26/20</f>
        <v>-0.870235625</v>
      </c>
    </row>
    <row r="13" ht="20.05" customHeight="1">
      <c r="B13" t="s" s="10">
        <v>12</v>
      </c>
      <c r="C13" s="15">
        <f>IF(C9&gt;0,-C9*0.1,0)</f>
        <v>-0.70684042993291</v>
      </c>
      <c r="D13" s="16">
        <f>IF(D9&gt;0,-D9*0.3,0)</f>
        <v>-2.05690565110476</v>
      </c>
      <c r="E13" s="16">
        <f>IF(E9&gt;0,-E9*0.3,0)</f>
        <v>-2.11861282063791</v>
      </c>
      <c r="F13" s="16">
        <f>IF(F9&gt;0,-F9*0.3,0)</f>
        <v>-2.20335733346343</v>
      </c>
    </row>
    <row r="14" ht="20.05" customHeight="1">
      <c r="B14" t="s" s="10">
        <v>13</v>
      </c>
      <c r="C14" s="15">
        <f>C9+C10+C12+C13</f>
        <v>3.14656386939619</v>
      </c>
      <c r="D14" s="16">
        <f>D9+D10+D12+D13</f>
        <v>1.63519651924444</v>
      </c>
      <c r="E14" s="16">
        <f>E9+E10+E12+E13</f>
        <v>1.82739241482179</v>
      </c>
      <c r="F14" s="16">
        <f>F9+F10+F12+F13</f>
        <v>2.07093148641467</v>
      </c>
    </row>
    <row r="15" ht="20.05" customHeight="1">
      <c r="B15" t="s" s="10">
        <v>14</v>
      </c>
      <c r="C15" s="15">
        <f>-MIN(0,C14)</f>
        <v>0</v>
      </c>
      <c r="D15" s="16">
        <f>-MIN(C27,D14)</f>
        <v>0</v>
      </c>
      <c r="E15" s="16">
        <f>-MIN(D27,E14)</f>
        <v>0</v>
      </c>
      <c r="F15" s="16">
        <f>-MIN(E27,F14)</f>
        <v>0</v>
      </c>
    </row>
    <row r="16" ht="20.05" customHeight="1">
      <c r="B16" t="s" s="10">
        <v>15</v>
      </c>
      <c r="C16" s="15">
        <f>'Balance sheet'!C30</f>
        <v>36.4</v>
      </c>
      <c r="D16" s="16">
        <f>C18</f>
        <v>39.5465638693962</v>
      </c>
      <c r="E16" s="16">
        <f>D18</f>
        <v>41.1817603886406</v>
      </c>
      <c r="F16" s="16">
        <f>E18</f>
        <v>43.0091528034624</v>
      </c>
    </row>
    <row r="17" ht="20.05" customHeight="1">
      <c r="B17" t="s" s="10">
        <v>16</v>
      </c>
      <c r="C17" s="15">
        <f>C9+C10+C11</f>
        <v>3.14656386939619</v>
      </c>
      <c r="D17" s="16">
        <f>D9+D10+D11</f>
        <v>1.63519651924444</v>
      </c>
      <c r="E17" s="16">
        <f>E9+E10+E11</f>
        <v>1.82739241482179</v>
      </c>
      <c r="F17" s="16">
        <f>F9+F10+F11</f>
        <v>2.07093148641467</v>
      </c>
    </row>
    <row r="18" ht="20.05" customHeight="1">
      <c r="B18" t="s" s="10">
        <v>17</v>
      </c>
      <c r="C18" s="15">
        <f>C16+C17</f>
        <v>39.5465638693962</v>
      </c>
      <c r="D18" s="16">
        <f>D16+D17</f>
        <v>41.1817603886406</v>
      </c>
      <c r="E18" s="16">
        <f>E16+E17</f>
        <v>43.0091528034624</v>
      </c>
      <c r="F18" s="16">
        <f>F16+F17</f>
        <v>45.0800842898771</v>
      </c>
    </row>
    <row r="19" ht="20.05" customHeight="1">
      <c r="B19" t="s" s="17">
        <v>18</v>
      </c>
      <c r="C19" s="15"/>
      <c r="D19" s="16"/>
      <c r="E19" s="16"/>
      <c r="F19" s="18"/>
    </row>
    <row r="20" ht="20.05" customHeight="1">
      <c r="B20" t="s" s="10">
        <v>19</v>
      </c>
      <c r="C20" s="15">
        <f>-AVERAGE('Sales'!E30)</f>
        <v>-5.1</v>
      </c>
      <c r="D20" s="16">
        <f>C20</f>
        <v>-5.1</v>
      </c>
      <c r="E20" s="16">
        <f>D20</f>
        <v>-5.1</v>
      </c>
      <c r="F20" s="16">
        <f>E20</f>
        <v>-5.1</v>
      </c>
    </row>
    <row r="21" ht="20.05" customHeight="1">
      <c r="B21" t="s" s="10">
        <v>20</v>
      </c>
      <c r="C21" s="15">
        <f>C6+C8+C20</f>
        <v>1.9684042993291</v>
      </c>
      <c r="D21" s="16">
        <f>D6+D8+D20</f>
        <v>1.7563521703492</v>
      </c>
      <c r="E21" s="16">
        <f>E6+E8+E20</f>
        <v>1.9620427354597</v>
      </c>
      <c r="F21" s="16">
        <f>F6+F8+F20</f>
        <v>2.2445244448781</v>
      </c>
    </row>
    <row r="22" ht="20.05" customHeight="1">
      <c r="B22" t="s" s="17">
        <v>21</v>
      </c>
      <c r="C22" s="15"/>
      <c r="D22" s="16"/>
      <c r="E22" s="16"/>
      <c r="F22" s="16"/>
    </row>
    <row r="23" ht="20.05" customHeight="1">
      <c r="B23" t="s" s="10">
        <v>22</v>
      </c>
      <c r="C23" s="19">
        <f>'Balance sheet'!E30+'Balance sheet'!F30-C10</f>
        <v>351.2</v>
      </c>
      <c r="D23" s="20">
        <f>C23-D10</f>
        <v>353.4</v>
      </c>
      <c r="E23" s="20">
        <f>D23-E10</f>
        <v>355.6</v>
      </c>
      <c r="F23" s="20">
        <f>E23-F10</f>
        <v>357.8</v>
      </c>
    </row>
    <row r="24" ht="20.05" customHeight="1">
      <c r="B24" t="s" s="10">
        <v>23</v>
      </c>
      <c r="C24" s="19">
        <f>'Balance sheet'!F30-C20</f>
        <v>208.7</v>
      </c>
      <c r="D24" s="20">
        <f>C24-D20</f>
        <v>213.8</v>
      </c>
      <c r="E24" s="20">
        <f>D24-E20</f>
        <v>218.9</v>
      </c>
      <c r="F24" s="20">
        <f>E24-F20</f>
        <v>224</v>
      </c>
    </row>
    <row r="25" ht="20.05" customHeight="1">
      <c r="B25" t="s" s="10">
        <v>24</v>
      </c>
      <c r="C25" s="19">
        <f>C23-C24</f>
        <v>142.5</v>
      </c>
      <c r="D25" s="20">
        <f>D23-D24</f>
        <v>139.6</v>
      </c>
      <c r="E25" s="20">
        <f>E23-E24</f>
        <v>136.7</v>
      </c>
      <c r="F25" s="20">
        <f>F23-F24</f>
        <v>133.8</v>
      </c>
    </row>
    <row r="26" ht="20.05" customHeight="1">
      <c r="B26" t="s" s="10">
        <v>11</v>
      </c>
      <c r="C26" s="19">
        <f>'Balance sheet'!G30+C12</f>
        <v>19.285</v>
      </c>
      <c r="D26" s="20">
        <f>C26+D12</f>
        <v>18.32075</v>
      </c>
      <c r="E26" s="20">
        <f>D26+E12</f>
        <v>17.4047125</v>
      </c>
      <c r="F26" s="20">
        <f>E26+F12</f>
        <v>16.534476875</v>
      </c>
    </row>
    <row r="27" ht="20.05" customHeight="1">
      <c r="B27" t="s" s="10">
        <v>14</v>
      </c>
      <c r="C27" s="19">
        <f>C15</f>
        <v>0</v>
      </c>
      <c r="D27" s="20">
        <f>C27+D15</f>
        <v>0</v>
      </c>
      <c r="E27" s="20">
        <f>D27+E15</f>
        <v>0</v>
      </c>
      <c r="F27" s="20">
        <f>E27+F15</f>
        <v>0</v>
      </c>
    </row>
    <row r="28" ht="20.05" customHeight="1">
      <c r="B28" t="s" s="10">
        <v>25</v>
      </c>
      <c r="C28" s="19">
        <f>'Balance sheet'!H30+C21+C13</f>
        <v>162.761563869396</v>
      </c>
      <c r="D28" s="20">
        <f>C28+D21+D13</f>
        <v>162.461010388640</v>
      </c>
      <c r="E28" s="20">
        <f>D28+E21+E13</f>
        <v>162.304440303462</v>
      </c>
      <c r="F28" s="20">
        <f>E28+F21+F13</f>
        <v>162.345607414877</v>
      </c>
    </row>
    <row r="29" ht="20.05" customHeight="1">
      <c r="B29" t="s" s="10">
        <v>26</v>
      </c>
      <c r="C29" s="19">
        <f>C26+C27+C28-C18-C25</f>
        <v>-2e-13</v>
      </c>
      <c r="D29" s="20">
        <f>D26+D27+D28-D18-D25</f>
        <v>-6e-13</v>
      </c>
      <c r="E29" s="20">
        <f>E26+E27+E28-E18-E25</f>
        <v>-4e-13</v>
      </c>
      <c r="F29" s="20">
        <f>F26+F27+F28-F18-F25</f>
        <v>-1e-13</v>
      </c>
    </row>
    <row r="30" ht="20.05" customHeight="1">
      <c r="B30" t="s" s="10">
        <v>27</v>
      </c>
      <c r="C30" s="19">
        <f>C18-C26-C27</f>
        <v>20.2615638693962</v>
      </c>
      <c r="D30" s="20">
        <f>D18-D26-D27</f>
        <v>22.8610103886406</v>
      </c>
      <c r="E30" s="20">
        <f>E18-E26-E27</f>
        <v>25.6044403034624</v>
      </c>
      <c r="F30" s="20">
        <f>F18-F26-F27</f>
        <v>28.5456074148771</v>
      </c>
    </row>
    <row r="31" ht="20.05" customHeight="1">
      <c r="B31" t="s" s="17">
        <v>28</v>
      </c>
      <c r="C31" s="15"/>
      <c r="D31" s="16"/>
      <c r="E31" s="16"/>
      <c r="F31" s="16"/>
    </row>
    <row r="32" ht="20.05" customHeight="1">
      <c r="B32" t="s" s="10">
        <v>29</v>
      </c>
      <c r="C32" s="15"/>
      <c r="D32" s="16"/>
      <c r="E32" s="16"/>
      <c r="F32" s="16">
        <v>14</v>
      </c>
    </row>
    <row r="33" ht="20.05" customHeight="1">
      <c r="B33" t="s" s="10">
        <v>30</v>
      </c>
      <c r="C33" s="15">
        <f>'Cashflow '!M30-C11</f>
        <v>95.1218404299329</v>
      </c>
      <c r="D33" s="16">
        <f>C33-D11</f>
        <v>98.14299608103769</v>
      </c>
      <c r="E33" s="16">
        <f>D33-E11</f>
        <v>101.177646401676</v>
      </c>
      <c r="F33" s="16">
        <f>E33-F11</f>
        <v>104.251239360139</v>
      </c>
    </row>
    <row r="34" ht="20.05" customHeight="1">
      <c r="B34" t="s" s="10">
        <v>31</v>
      </c>
      <c r="C34" s="15"/>
      <c r="D34" s="16"/>
      <c r="E34" s="16"/>
      <c r="F34" s="20">
        <f>1811/F32</f>
        <v>129.357142857143</v>
      </c>
    </row>
    <row r="35" ht="20.05" customHeight="1">
      <c r="B35" t="s" s="10">
        <v>32</v>
      </c>
      <c r="C35" s="15"/>
      <c r="D35" s="16"/>
      <c r="E35" s="16"/>
      <c r="F35" s="16">
        <f>F34/(F18+F25)</f>
        <v>0.723150055360654</v>
      </c>
    </row>
    <row r="36" ht="20.05" customHeight="1">
      <c r="B36" t="s" s="10">
        <v>33</v>
      </c>
      <c r="C36" s="15"/>
      <c r="D36" s="16"/>
      <c r="E36" s="16"/>
      <c r="F36" s="21">
        <f>-(C13+D13+E13+F13)/F34</f>
        <v>0.0547763817183578</v>
      </c>
    </row>
    <row r="37" ht="20.05" customHeight="1">
      <c r="B37" t="s" s="10">
        <v>34</v>
      </c>
      <c r="C37" s="15"/>
      <c r="D37" s="16"/>
      <c r="E37" s="16"/>
      <c r="F37" s="20">
        <f>SUM(C9:F10)</f>
        <v>19.5313236500161</v>
      </c>
    </row>
    <row r="38" ht="20.05" customHeight="1">
      <c r="B38" t="s" s="10">
        <v>35</v>
      </c>
      <c r="C38" s="15"/>
      <c r="D38" s="16"/>
      <c r="E38" s="16"/>
      <c r="F38" s="20">
        <f>'Balance sheet'!E30/F37</f>
        <v>7.44445192785898</v>
      </c>
    </row>
    <row r="39" ht="20.05" customHeight="1">
      <c r="B39" t="s" s="10">
        <v>28</v>
      </c>
      <c r="C39" s="15"/>
      <c r="D39" s="16"/>
      <c r="E39" s="16"/>
      <c r="F39" s="20">
        <f>F34/F37</f>
        <v>6.62306073951298</v>
      </c>
    </row>
    <row r="40" ht="20.05" customHeight="1">
      <c r="B40" t="s" s="10">
        <v>36</v>
      </c>
      <c r="C40" s="15"/>
      <c r="D40" s="16"/>
      <c r="E40" s="16"/>
      <c r="F40" s="20">
        <v>13</v>
      </c>
    </row>
    <row r="41" ht="20.05" customHeight="1">
      <c r="B41" t="s" s="10">
        <v>37</v>
      </c>
      <c r="C41" s="15"/>
      <c r="D41" s="16"/>
      <c r="E41" s="16"/>
      <c r="F41" s="20">
        <f>F37*F40</f>
        <v>253.907207450209</v>
      </c>
    </row>
    <row r="42" ht="20.05" customHeight="1">
      <c r="B42" t="s" s="10">
        <v>38</v>
      </c>
      <c r="C42" s="15"/>
      <c r="D42" s="16"/>
      <c r="E42" s="16"/>
      <c r="F42" s="20">
        <f>1811/F44</f>
        <v>1.74975845410628</v>
      </c>
    </row>
    <row r="43" ht="20.05" customHeight="1">
      <c r="B43" t="s" s="10">
        <v>39</v>
      </c>
      <c r="C43" s="15"/>
      <c r="D43" s="16"/>
      <c r="E43" s="16"/>
      <c r="F43" s="20">
        <f>(F41/F42)*F32</f>
        <v>2031.538065131710</v>
      </c>
    </row>
    <row r="44" ht="20.05" customHeight="1">
      <c r="B44" t="s" s="10">
        <v>40</v>
      </c>
      <c r="C44" s="15"/>
      <c r="D44" s="16"/>
      <c r="E44" s="16"/>
      <c r="F44" s="20">
        <f>'Share price'!C19</f>
        <v>1035</v>
      </c>
    </row>
    <row r="45" ht="20.05" customHeight="1">
      <c r="B45" t="s" s="10">
        <v>41</v>
      </c>
      <c r="C45" s="15"/>
      <c r="D45" s="16"/>
      <c r="E45" s="16"/>
      <c r="F45" s="21">
        <f>F43/F44-1</f>
        <v>0.962838710272184</v>
      </c>
    </row>
    <row r="46" ht="20.05" customHeight="1">
      <c r="B46" t="s" s="10">
        <v>42</v>
      </c>
      <c r="C46" s="15"/>
      <c r="D46" s="16"/>
      <c r="E46" s="16"/>
      <c r="F46" s="21">
        <f>'Sales'!C29/'Sales'!C25-1</f>
        <v>0.441241685144124</v>
      </c>
    </row>
    <row r="47" ht="20.05" customHeight="1">
      <c r="B47" t="s" s="10">
        <v>43</v>
      </c>
      <c r="C47" s="15"/>
      <c r="D47" s="16"/>
      <c r="E47" s="16"/>
      <c r="F47" s="21">
        <f>('Sales'!D25+'Sales'!D26+'Sales'!D27+'Sales'!D28+'Sales'!D29+'Sales'!D30)/('Sales'!C25+'Sales'!C26+'Sales'!C27+'Sales'!C28+'Sales'!C29+'Sales'!C30)-1</f>
        <v>0.0733997833152763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8203" style="22" customWidth="1"/>
    <col min="2" max="2" width="9.80469" style="22" customWidth="1"/>
    <col min="3" max="11" width="9.65625" style="22" customWidth="1"/>
    <col min="12" max="16384" width="16.3516" style="22" customWidth="1"/>
  </cols>
  <sheetData>
    <row r="1" ht="35.8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3">
        <v>1</v>
      </c>
      <c r="C3" t="s" s="23">
        <v>5</v>
      </c>
      <c r="D3" t="s" s="23">
        <v>36</v>
      </c>
      <c r="E3" t="s" s="23">
        <v>23</v>
      </c>
      <c r="F3" t="s" s="23">
        <v>44</v>
      </c>
      <c r="G3" t="s" s="23">
        <v>20</v>
      </c>
      <c r="H3" t="s" s="23">
        <v>45</v>
      </c>
      <c r="I3" t="s" s="23">
        <v>46</v>
      </c>
      <c r="J3" t="s" s="23">
        <v>47</v>
      </c>
      <c r="K3" t="s" s="23">
        <v>47</v>
      </c>
    </row>
    <row r="4" ht="20.25" customHeight="1">
      <c r="B4" s="24">
        <v>2015</v>
      </c>
      <c r="C4" s="25">
        <v>26</v>
      </c>
      <c r="D4" s="26"/>
      <c r="E4" s="27">
        <v>6</v>
      </c>
      <c r="F4" s="27"/>
      <c r="G4" s="27">
        <v>4</v>
      </c>
      <c r="H4" s="9"/>
      <c r="I4" s="9">
        <f>(E4+G4+F4-C4)/C4</f>
        <v>-0.615384615384615</v>
      </c>
      <c r="J4" s="9"/>
      <c r="K4" s="9"/>
    </row>
    <row r="5" ht="20.05" customHeight="1">
      <c r="B5" s="28"/>
      <c r="C5" s="15">
        <v>27</v>
      </c>
      <c r="D5" s="29"/>
      <c r="E5" s="16">
        <v>6</v>
      </c>
      <c r="F5" s="16"/>
      <c r="G5" s="16">
        <v>4</v>
      </c>
      <c r="H5" s="12">
        <f>C5/C4-1</f>
        <v>0.0384615384615385</v>
      </c>
      <c r="I5" s="12">
        <f>(E5+G5+F5-C5)/C5</f>
        <v>-0.62962962962963</v>
      </c>
      <c r="J5" s="12"/>
      <c r="K5" s="12"/>
    </row>
    <row r="6" ht="20.05" customHeight="1">
      <c r="B6" s="28"/>
      <c r="C6" s="15">
        <v>19</v>
      </c>
      <c r="D6" s="29"/>
      <c r="E6" s="16">
        <v>6</v>
      </c>
      <c r="F6" s="16"/>
      <c r="G6" s="16">
        <v>-7</v>
      </c>
      <c r="H6" s="12">
        <f>C6/C5-1</f>
        <v>-0.296296296296296</v>
      </c>
      <c r="I6" s="12">
        <f>(E6+G6+F6-C6)/C6</f>
        <v>-1.05263157894737</v>
      </c>
      <c r="J6" s="12"/>
      <c r="K6" s="12"/>
    </row>
    <row r="7" ht="20.05" customHeight="1">
      <c r="B7" s="28"/>
      <c r="C7" s="15">
        <v>18</v>
      </c>
      <c r="D7" s="29"/>
      <c r="E7" s="16">
        <v>8</v>
      </c>
      <c r="F7" s="16"/>
      <c r="G7" s="16">
        <v>-11</v>
      </c>
      <c r="H7" s="12">
        <f>C7/C6-1</f>
        <v>-0.0526315789473684</v>
      </c>
      <c r="I7" s="12">
        <f>(E7+G7+F7-C7)/C7</f>
        <v>-1.16666666666667</v>
      </c>
      <c r="J7" s="12"/>
      <c r="K7" s="12"/>
    </row>
    <row r="8" ht="20.05" customHeight="1">
      <c r="B8" s="30">
        <v>2016</v>
      </c>
      <c r="C8" s="15">
        <v>18</v>
      </c>
      <c r="D8" s="29"/>
      <c r="E8" s="16">
        <v>6</v>
      </c>
      <c r="F8" s="16"/>
      <c r="G8" s="16">
        <v>-1</v>
      </c>
      <c r="H8" s="12">
        <f>C8/C7-1</f>
        <v>0</v>
      </c>
      <c r="I8" s="12">
        <f>(E8+G8+F8-C8)/C8</f>
        <v>-0.722222222222222</v>
      </c>
      <c r="J8" s="18"/>
      <c r="K8" s="12">
        <f>('Cashflow '!D5+'Cashflow '!D6+'Cashflow '!D7+'Cashflow '!D8+'Cashflow '!G5+'Cashflow '!G6+'Cashflow '!G7+'Cashflow '!G8-'Cashflow '!C5-'Cashflow '!C6-'Cashflow '!C7-'Cashflow '!C8)/('Cashflow '!C5+'Cashflow '!C6+'Cashflow '!C7+'Cashflow '!C8)</f>
        <v>-0.730255164034022</v>
      </c>
    </row>
    <row r="9" ht="20.05" customHeight="1">
      <c r="B9" s="28"/>
      <c r="C9" s="15">
        <v>15</v>
      </c>
      <c r="D9" s="29"/>
      <c r="E9" s="16">
        <v>6</v>
      </c>
      <c r="F9" s="16"/>
      <c r="G9" s="16">
        <v>-4</v>
      </c>
      <c r="H9" s="12">
        <f>C9/C8-1</f>
        <v>-0.166666666666667</v>
      </c>
      <c r="I9" s="12">
        <f>(E9+G9+F9-C9)/C9</f>
        <v>-0.866666666666667</v>
      </c>
      <c r="J9" s="18"/>
      <c r="K9" s="12">
        <f>('Cashflow '!D6+'Cashflow '!D7+'Cashflow '!D8+'Cashflow '!D9+'Cashflow '!G6+'Cashflow '!G7+'Cashflow '!G8+'Cashflow '!G9-'Cashflow '!C6-'Cashflow '!C7-'Cashflow '!C8-'Cashflow '!C9)/('Cashflow '!C6+'Cashflow '!C7+'Cashflow '!C8+'Cashflow '!C9)</f>
        <v>-0.7369826435247</v>
      </c>
    </row>
    <row r="10" ht="20.05" customHeight="1">
      <c r="B10" s="28"/>
      <c r="C10" s="15">
        <v>17</v>
      </c>
      <c r="D10" s="29"/>
      <c r="E10" s="16">
        <v>6</v>
      </c>
      <c r="F10" s="16"/>
      <c r="G10" s="16">
        <v>-1</v>
      </c>
      <c r="H10" s="12">
        <f>C10/C9-1</f>
        <v>0.133333333333333</v>
      </c>
      <c r="I10" s="12">
        <f>(E10+G10+F10-C10)/C10</f>
        <v>-0.705882352941176</v>
      </c>
      <c r="J10" s="18"/>
      <c r="K10" s="12">
        <f>('Cashflow '!D7+'Cashflow '!D8+'Cashflow '!D9+'Cashflow '!D10+'Cashflow '!G7+'Cashflow '!G8+'Cashflow '!G9+'Cashflow '!G10-'Cashflow '!C7-'Cashflow '!C8-'Cashflow '!C9-'Cashflow '!C10)/('Cashflow '!C7+'Cashflow '!C8+'Cashflow '!C9+'Cashflow '!C10)</f>
        <v>-0.702349869451697</v>
      </c>
    </row>
    <row r="11" ht="20.05" customHeight="1">
      <c r="B11" s="28"/>
      <c r="C11" s="15">
        <v>16</v>
      </c>
      <c r="D11" s="29"/>
      <c r="E11" s="16">
        <v>8</v>
      </c>
      <c r="F11" s="16"/>
      <c r="G11" s="16">
        <v>-24</v>
      </c>
      <c r="H11" s="12">
        <f>C11/C10-1</f>
        <v>-0.0588235294117647</v>
      </c>
      <c r="I11" s="12"/>
      <c r="J11" s="18"/>
      <c r="K11" s="12">
        <f>('Cashflow '!D8+'Cashflow '!D9+'Cashflow '!D10+'Cashflow '!D11+'Cashflow '!G8+'Cashflow '!G9+'Cashflow '!G10+'Cashflow '!G11-'Cashflow '!C8-'Cashflow '!C9-'Cashflow '!C10-'Cashflow '!C11)/('Cashflow '!C8+'Cashflow '!C9+'Cashflow '!C10+'Cashflow '!C11)</f>
        <v>-0.721024258760108</v>
      </c>
    </row>
    <row r="12" ht="20.05" customHeight="1">
      <c r="B12" s="30">
        <v>2017</v>
      </c>
      <c r="C12" s="15">
        <v>16</v>
      </c>
      <c r="D12" s="29"/>
      <c r="E12" s="16">
        <v>6</v>
      </c>
      <c r="F12" s="16"/>
      <c r="G12" s="16">
        <v>-3</v>
      </c>
      <c r="H12" s="12">
        <f>C12/C11-1</f>
        <v>0</v>
      </c>
      <c r="I12" s="12">
        <f>(E12+G12+F12-C12)/C12</f>
        <v>-0.8125</v>
      </c>
      <c r="J12" s="12">
        <f>AVERAGE(K9:K12)</f>
        <v>-0.707950992151858</v>
      </c>
      <c r="K12" s="12">
        <f>('Cashflow '!D9+'Cashflow '!D10+'Cashflow '!D11+'Cashflow '!D12+'Cashflow '!G9+'Cashflow '!G10+'Cashflow '!G11+'Cashflow '!G12-'Cashflow '!C9-'Cashflow '!C10-'Cashflow '!C11-'Cashflow '!C12)/('Cashflow '!C9+'Cashflow '!C10+'Cashflow '!C11+'Cashflow '!C12)</f>
        <v>-0.671447196870926</v>
      </c>
    </row>
    <row r="13" ht="20.05" customHeight="1">
      <c r="B13" s="28"/>
      <c r="C13" s="15">
        <v>17</v>
      </c>
      <c r="D13" s="29"/>
      <c r="E13" s="16">
        <v>6</v>
      </c>
      <c r="F13" s="16"/>
      <c r="G13" s="16">
        <v>-1</v>
      </c>
      <c r="H13" s="12">
        <f>C13/C12-1</f>
        <v>0.0625</v>
      </c>
      <c r="I13" s="12">
        <f>(E13+G13+F13-C13)/C13</f>
        <v>-0.705882352941176</v>
      </c>
      <c r="J13" s="12">
        <f>AVERAGE(K10:K13)</f>
        <v>-0.691923416377066</v>
      </c>
      <c r="K13" s="12">
        <f>('Cashflow '!D10+'Cashflow '!D11+'Cashflow '!D12+'Cashflow '!D13+'Cashflow '!G10+'Cashflow '!G11+'Cashflow '!G12+'Cashflow '!G13-'Cashflow '!C10-'Cashflow '!C11-'Cashflow '!C12-'Cashflow '!C13)/('Cashflow '!C10+'Cashflow '!C11+'Cashflow '!C12+'Cashflow '!C13)</f>
        <v>-0.672872340425532</v>
      </c>
    </row>
    <row r="14" ht="20.05" customHeight="1">
      <c r="B14" s="28"/>
      <c r="C14" s="15">
        <v>18</v>
      </c>
      <c r="D14" s="29"/>
      <c r="E14" s="16">
        <v>6</v>
      </c>
      <c r="F14" s="16"/>
      <c r="G14" s="16">
        <v>-3</v>
      </c>
      <c r="H14" s="12">
        <f>C14/C13-1</f>
        <v>0.0588235294117647</v>
      </c>
      <c r="I14" s="12">
        <f>(E14+G14+F14-C14)/C14</f>
        <v>-0.833333333333333</v>
      </c>
      <c r="J14" s="12">
        <f>AVERAGE(K11:K14)</f>
        <v>-0.700811755465755</v>
      </c>
      <c r="K14" s="12">
        <f>('Cashflow '!D11+'Cashflow '!D12+'Cashflow '!D13+'Cashflow '!D14+'Cashflow '!G11+'Cashflow '!G12+'Cashflow '!G13+'Cashflow '!G14-'Cashflow '!C11-'Cashflow '!C12-'Cashflow '!C13-'Cashflow '!C14)/('Cashflow '!C11+'Cashflow '!C12+'Cashflow '!C13+'Cashflow '!C14)</f>
        <v>-0.737903225806452</v>
      </c>
    </row>
    <row r="15" ht="20.05" customHeight="1">
      <c r="B15" s="28"/>
      <c r="C15" s="15">
        <v>17</v>
      </c>
      <c r="D15" s="29"/>
      <c r="E15" s="16">
        <v>7</v>
      </c>
      <c r="F15" s="16"/>
      <c r="G15" s="16">
        <v>-2</v>
      </c>
      <c r="H15" s="12">
        <f>C15/C14-1</f>
        <v>-0.0555555555555556</v>
      </c>
      <c r="I15" s="12">
        <f>(E15+G15+F15-C15)/C15</f>
        <v>-0.705882352941176</v>
      </c>
      <c r="J15" s="12">
        <f>AVERAGE(K12:K15)</f>
        <v>-0.7080556907757281</v>
      </c>
      <c r="K15" s="12">
        <f>('Cashflow '!D12+'Cashflow '!D13+'Cashflow '!D14+'Cashflow '!D15+'Cashflow '!G12+'Cashflow '!G13+'Cashflow '!G14+'Cashflow '!G15-'Cashflow '!C12-'Cashflow '!C13-'Cashflow '!C14-'Cashflow '!C15)/('Cashflow '!C12+'Cashflow '!C13+'Cashflow '!C14+'Cashflow '!C15)</f>
        <v>-0.75</v>
      </c>
    </row>
    <row r="16" ht="20.05" customHeight="1">
      <c r="B16" s="30">
        <v>2018</v>
      </c>
      <c r="C16" s="15">
        <v>14</v>
      </c>
      <c r="D16" s="29"/>
      <c r="E16" s="16">
        <v>6</v>
      </c>
      <c r="F16" s="16"/>
      <c r="G16" s="16">
        <v>-5</v>
      </c>
      <c r="H16" s="12">
        <f>C16/C15-1</f>
        <v>-0.176470588235294</v>
      </c>
      <c r="I16" s="12">
        <f>(E16+G16+F16-C16)/C16</f>
        <v>-0.928571428571429</v>
      </c>
      <c r="J16" s="12">
        <f>AVERAGE(K13:K16)</f>
        <v>-0.741060943581118</v>
      </c>
      <c r="K16" s="12">
        <f>('Cashflow '!D13+'Cashflow '!D14+'Cashflow '!D15+'Cashflow '!D16+'Cashflow '!G13+'Cashflow '!G14+'Cashflow '!G15+'Cashflow '!G16-'Cashflow '!C13-'Cashflow '!C14-'Cashflow '!C15-'Cashflow '!C16)/('Cashflow '!C13+'Cashflow '!C14+'Cashflow '!C15+'Cashflow '!C16)</f>
        <v>-0.803468208092486</v>
      </c>
    </row>
    <row r="17" ht="20.05" customHeight="1">
      <c r="B17" s="28"/>
      <c r="C17" s="15">
        <v>18</v>
      </c>
      <c r="D17" s="29"/>
      <c r="E17" s="16">
        <v>7</v>
      </c>
      <c r="F17" s="16"/>
      <c r="G17" s="16">
        <v>-4</v>
      </c>
      <c r="H17" s="12">
        <f>C17/C16-1</f>
        <v>0.285714285714286</v>
      </c>
      <c r="I17" s="12">
        <f>(E17+G17+F17-C17)/C17</f>
        <v>-0.833333333333333</v>
      </c>
      <c r="J17" s="12">
        <f>AVERAGE(K14:K17)</f>
        <v>-0.77795234752583</v>
      </c>
      <c r="K17" s="12">
        <f>('Cashflow '!D14+'Cashflow '!D15+'Cashflow '!D16+'Cashflow '!D17+'Cashflow '!G14+'Cashflow '!G15+'Cashflow '!G16+'Cashflow '!G17-'Cashflow '!C14-'Cashflow '!C15-'Cashflow '!C16-'Cashflow '!C17)/('Cashflow '!C14+'Cashflow '!C15+'Cashflow '!C16+'Cashflow '!C17)</f>
        <v>-0.82043795620438</v>
      </c>
    </row>
    <row r="18" ht="20.05" customHeight="1">
      <c r="B18" s="28"/>
      <c r="C18" s="15">
        <v>20</v>
      </c>
      <c r="D18" s="29"/>
      <c r="E18" s="16">
        <v>7</v>
      </c>
      <c r="F18" s="16"/>
      <c r="G18" s="16">
        <v>-1</v>
      </c>
      <c r="H18" s="12">
        <f>C18/C17-1</f>
        <v>0.111111111111111</v>
      </c>
      <c r="I18" s="12">
        <f>(E18+G18+F18-C18)/C18</f>
        <v>-0.7</v>
      </c>
      <c r="J18" s="12">
        <f>AVERAGE(K15:K18)</f>
        <v>-0.777823722083119</v>
      </c>
      <c r="K18" s="12">
        <f>('Cashflow '!D15+'Cashflow '!D16+'Cashflow '!D17+'Cashflow '!D18+'Cashflow '!G15+'Cashflow '!G16+'Cashflow '!G17+'Cashflow '!G18-'Cashflow '!C15-'Cashflow '!C16-'Cashflow '!C17-'Cashflow '!C18)/('Cashflow '!C15+'Cashflow '!C16+'Cashflow '!C17+'Cashflow '!C18)</f>
        <v>-0.737388724035608</v>
      </c>
    </row>
    <row r="19" ht="20.05" customHeight="1">
      <c r="B19" s="28"/>
      <c r="C19" s="15">
        <v>23</v>
      </c>
      <c r="D19" s="29"/>
      <c r="E19" s="16">
        <v>9</v>
      </c>
      <c r="F19" s="16"/>
      <c r="G19" s="16">
        <v>-7</v>
      </c>
      <c r="H19" s="12">
        <f>C19/C18-1</f>
        <v>0.15</v>
      </c>
      <c r="I19" s="12">
        <f>(E19+G19+F19-C19)/C19</f>
        <v>-0.91304347826087</v>
      </c>
      <c r="J19" s="12">
        <f>AVERAGE(K16:K19)</f>
        <v>-0.773749519586586</v>
      </c>
      <c r="K19" s="12">
        <f>('Cashflow '!D16+'Cashflow '!D17+'Cashflow '!D18+'Cashflow '!D19+'Cashflow '!G16+'Cashflow '!G17+'Cashflow '!G18+'Cashflow '!G19-'Cashflow '!C16-'Cashflow '!C17-'Cashflow '!C18-'Cashflow '!C19)/('Cashflow '!C16+'Cashflow '!C17+'Cashflow '!C18+'Cashflow '!C19)</f>
        <v>-0.73370319001387</v>
      </c>
    </row>
    <row r="20" ht="20.05" customHeight="1">
      <c r="B20" s="30">
        <v>2019</v>
      </c>
      <c r="C20" s="15">
        <v>21</v>
      </c>
      <c r="D20" s="29"/>
      <c r="E20" s="16">
        <v>6</v>
      </c>
      <c r="F20" s="16"/>
      <c r="G20" s="16">
        <v>1</v>
      </c>
      <c r="H20" s="12">
        <f>C20/C19-1</f>
        <v>-0.0869565217391304</v>
      </c>
      <c r="I20" s="12">
        <f>(E20+G20+F20-C20)/C20</f>
        <v>-0.666666666666667</v>
      </c>
      <c r="J20" s="12">
        <f>AVERAGE(K17:K20)</f>
        <v>-0.750470934142757</v>
      </c>
      <c r="K20" s="12">
        <f>('Cashflow '!D17+'Cashflow '!D18+'Cashflow '!D19+'Cashflow '!D20+'Cashflow '!G17+'Cashflow '!G18+'Cashflow '!G19+'Cashflow '!G20-'Cashflow '!C17-'Cashflow '!C18-'Cashflow '!C19-'Cashflow '!C20)/('Cashflow '!C17+'Cashflow '!C18+'Cashflow '!C19+'Cashflow '!C20)</f>
        <v>-0.710353866317169</v>
      </c>
    </row>
    <row r="21" ht="20.05" customHeight="1">
      <c r="B21" s="28"/>
      <c r="C21" s="15">
        <v>19</v>
      </c>
      <c r="D21" s="29"/>
      <c r="E21" s="16">
        <v>6</v>
      </c>
      <c r="F21" s="16"/>
      <c r="G21" s="16">
        <v>0</v>
      </c>
      <c r="H21" s="12">
        <f>C21/C20-1</f>
        <v>-0.09523809523809521</v>
      </c>
      <c r="I21" s="12">
        <f>(E21+G21+F21-C21)/C21</f>
        <v>-0.684210526315789</v>
      </c>
      <c r="J21" s="12">
        <f>AVERAGE(K18:K21)</f>
        <v>-0.717236445091662</v>
      </c>
      <c r="K21" s="12">
        <f>('Cashflow '!D18+'Cashflow '!D19+'Cashflow '!D20+'Cashflow '!D21+'Cashflow '!G18+'Cashflow '!G19+'Cashflow '!G20+'Cashflow '!G21-'Cashflow '!C18-'Cashflow '!C19-'Cashflow '!C20-'Cashflow '!C21)/('Cashflow '!C18+'Cashflow '!C19+'Cashflow '!C20+'Cashflow '!C21)</f>
        <v>-0.6875</v>
      </c>
    </row>
    <row r="22" ht="20.05" customHeight="1">
      <c r="B22" s="28"/>
      <c r="C22" s="15">
        <v>20.594</v>
      </c>
      <c r="D22" s="29"/>
      <c r="E22" s="16">
        <v>6</v>
      </c>
      <c r="F22" s="16"/>
      <c r="G22" s="16">
        <v>-1</v>
      </c>
      <c r="H22" s="12">
        <f>C22/C21-1</f>
        <v>0.0838947368421053</v>
      </c>
      <c r="I22" s="12">
        <f>(E22+G22+F22-C22)/C22</f>
        <v>-0.757210838108187</v>
      </c>
      <c r="J22" s="12">
        <f>AVERAGE(K19:K22)</f>
        <v>-0.706460692654188</v>
      </c>
      <c r="K22" s="12">
        <f>('Cashflow '!D19+'Cashflow '!D20+'Cashflow '!D21+'Cashflow '!D22+'Cashflow '!G19+'Cashflow '!G20+'Cashflow '!G21+'Cashflow '!G22-'Cashflow '!C19-'Cashflow '!C20-'Cashflow '!C21-'Cashflow '!C22)/('Cashflow '!C19+'Cashflow '!C20+'Cashflow '!C21+'Cashflow '!C22)</f>
        <v>-0.694285714285714</v>
      </c>
    </row>
    <row r="23" ht="20.05" customHeight="1">
      <c r="B23" s="28"/>
      <c r="C23" s="15">
        <v>17.246</v>
      </c>
      <c r="D23" s="29"/>
      <c r="E23" s="16">
        <v>2.5</v>
      </c>
      <c r="F23" s="16"/>
      <c r="G23" s="16">
        <v>1.8</v>
      </c>
      <c r="H23" s="12">
        <f>C23/C22-1</f>
        <v>-0.162571622802758</v>
      </c>
      <c r="I23" s="12">
        <f>(E23+G23+F23-C23)/C23</f>
        <v>-0.750666821291894</v>
      </c>
      <c r="J23" s="12">
        <f>AVERAGE(K20:K23)</f>
        <v>-0.698644651248282</v>
      </c>
      <c r="K23" s="12">
        <f>('Cashflow '!D20+'Cashflow '!D21+'Cashflow '!D22+'Cashflow '!D23+'Cashflow '!G20+'Cashflow '!G21+'Cashflow '!G22+'Cashflow '!G23-'Cashflow '!C20-'Cashflow '!C21-'Cashflow '!C22-'Cashflow '!C23)/('Cashflow '!C20+'Cashflow '!C21+'Cashflow '!C22+'Cashflow '!C23)</f>
        <v>-0.702439024390244</v>
      </c>
    </row>
    <row r="24" ht="20.05" customHeight="1">
      <c r="B24" s="30">
        <v>2020</v>
      </c>
      <c r="C24" s="15">
        <v>16.4</v>
      </c>
      <c r="D24" s="18"/>
      <c r="E24" s="16">
        <v>5.5</v>
      </c>
      <c r="F24" s="16"/>
      <c r="G24" s="16">
        <v>-2.2</v>
      </c>
      <c r="H24" s="12">
        <f>C24/C23-1</f>
        <v>-0.0490548532993158</v>
      </c>
      <c r="I24" s="12">
        <f>(E24+G24+F24-C24)/C24</f>
        <v>-0.798780487804878</v>
      </c>
      <c r="J24" s="12">
        <f>AVERAGE(K21:K24)</f>
        <v>-0.695238121841764</v>
      </c>
      <c r="K24" s="12">
        <f>('Cashflow '!D21+'Cashflow '!D22+'Cashflow '!D23+'Cashflow '!D24+'Cashflow '!G21+'Cashflow '!G22+'Cashflow '!G23+'Cashflow '!G24-'Cashflow '!C21-'Cashflow '!C22-'Cashflow '!C23-'Cashflow '!C24)/('Cashflow '!C21+'Cashflow '!C22+'Cashflow '!C23+'Cashflow '!C24)</f>
        <v>-0.696727748691099</v>
      </c>
    </row>
    <row r="25" ht="20.05" customHeight="1">
      <c r="B25" s="28"/>
      <c r="C25" s="15">
        <f>29.028-C24</f>
        <v>12.628</v>
      </c>
      <c r="D25" s="16">
        <v>17.1</v>
      </c>
      <c r="E25" s="16">
        <f>11.14-E24</f>
        <v>5.64</v>
      </c>
      <c r="F25" s="29"/>
      <c r="G25" s="16">
        <f>-4.463-G24</f>
        <v>-2.263</v>
      </c>
      <c r="H25" s="12">
        <f>C25/C24-1</f>
        <v>-0.23</v>
      </c>
      <c r="I25" s="12">
        <f>(E25+G25+F25-C25)/C25</f>
        <v>-0.732578397212544</v>
      </c>
      <c r="J25" s="12">
        <f>AVERAGE(K22:K25)</f>
        <v>-0.688570508245879</v>
      </c>
      <c r="K25" s="12">
        <f>('Cashflow '!D22+'Cashflow '!D23+'Cashflow '!D24+'Cashflow '!D25+'Cashflow '!G22+'Cashflow '!G23+'Cashflow '!G24+'Cashflow '!G25-'Cashflow '!C22-'Cashflow '!C23-'Cashflow '!C24-'Cashflow '!C25)/('Cashflow '!C22+'Cashflow '!C23+'Cashflow '!C24+'Cashflow '!C25)</f>
        <v>-0.66082954561646</v>
      </c>
    </row>
    <row r="26" ht="20.05" customHeight="1">
      <c r="B26" s="28"/>
      <c r="C26" s="15">
        <f>40.852-SUM(C24:C25)</f>
        <v>11.824</v>
      </c>
      <c r="D26" s="16">
        <v>13.0064</v>
      </c>
      <c r="E26" s="16">
        <f>16.464+0.285-SUM(E24:E25)</f>
        <v>5.609</v>
      </c>
      <c r="F26" s="29"/>
      <c r="G26" s="16">
        <f>-7.51-SUM(G24:G25)</f>
        <v>-3.047</v>
      </c>
      <c r="H26" s="12">
        <f>C26/C25-1</f>
        <v>-0.06366803927779539</v>
      </c>
      <c r="I26" s="12">
        <f>(E26+G26+F26-C26)/C26</f>
        <v>-0.783322056833559</v>
      </c>
      <c r="J26" s="12">
        <f>AVERAGE(K23:K26)</f>
        <v>-0.693131233009719</v>
      </c>
      <c r="K26" s="12">
        <f>('Cashflow '!D23+'Cashflow '!D24+'Cashflow '!D25+'Cashflow '!D26+'Cashflow '!G23+'Cashflow '!G24+'Cashflow '!G25+'Cashflow '!G26-'Cashflow '!C23-'Cashflow '!C24-'Cashflow '!C25-'Cashflow '!C26)/('Cashflow '!C23+'Cashflow '!C24+'Cashflow '!C25+'Cashflow '!C26)</f>
        <v>-0.712528613341071</v>
      </c>
    </row>
    <row r="27" ht="20.05" customHeight="1">
      <c r="B27" s="28"/>
      <c r="C27" s="15">
        <f>54.9-SUM(C24:C26)</f>
        <v>14.048</v>
      </c>
      <c r="D27" s="16">
        <v>13.0064</v>
      </c>
      <c r="E27" s="16">
        <f>21.4-SUM(E24:E26)</f>
        <v>4.651</v>
      </c>
      <c r="F27" s="29">
        <v>6</v>
      </c>
      <c r="G27" s="16">
        <f>-15-SUM(G24:G26)</f>
        <v>-7.49</v>
      </c>
      <c r="H27" s="12">
        <f>C27/C26-1</f>
        <v>0.18809201623816</v>
      </c>
      <c r="I27" s="12">
        <f>(E27+G27+F27-C27)/C27</f>
        <v>-0.77498576309795</v>
      </c>
      <c r="J27" s="12">
        <f>AVERAGE(K24:K27)</f>
        <v>-0.691875720454593</v>
      </c>
      <c r="K27" s="12">
        <f>('Cashflow '!D24+'Cashflow '!D25+'Cashflow '!D26+'Cashflow '!D27+'Cashflow '!G24+'Cashflow '!G25+'Cashflow '!G26+'Cashflow '!G27-'Cashflow '!C24-'Cashflow '!C25-'Cashflow '!C26-'Cashflow '!C27)/('Cashflow '!C24+'Cashflow '!C25+'Cashflow '!C26+'Cashflow '!C27)</f>
        <v>-0.697416974169742</v>
      </c>
    </row>
    <row r="28" ht="20.05" customHeight="1">
      <c r="B28" s="30">
        <v>2021</v>
      </c>
      <c r="C28" s="31">
        <v>15.2</v>
      </c>
      <c r="D28" s="16">
        <v>14.048</v>
      </c>
      <c r="E28" s="29">
        <v>5.1</v>
      </c>
      <c r="F28" s="29"/>
      <c r="G28" s="16">
        <v>-1.4</v>
      </c>
      <c r="H28" s="12">
        <f>C28/C27-1</f>
        <v>0.082004555808656</v>
      </c>
      <c r="I28" s="12">
        <f>(E28+G28+F28-C28)/C28</f>
        <v>-0.756578947368421</v>
      </c>
      <c r="J28" s="12">
        <f>AVERAGE(K25:K28)</f>
        <v>-0.697301447515395</v>
      </c>
      <c r="K28" s="12">
        <f>('Cashflow '!D25+'Cashflow '!D26+'Cashflow '!D27+'Cashflow '!D28+'Cashflow '!G25+'Cashflow '!G26+'Cashflow '!G27+'Cashflow '!G28-'Cashflow '!C25-'Cashflow '!C26-'Cashflow '!C27-'Cashflow '!C28)/('Cashflow '!C25+'Cashflow '!C26+'Cashflow '!C27+'Cashflow '!C28)</f>
        <v>-0.718430656934307</v>
      </c>
    </row>
    <row r="29" ht="20.05" customHeight="1">
      <c r="B29" s="28"/>
      <c r="C29" s="31">
        <f>33.4-C28</f>
        <v>18.2</v>
      </c>
      <c r="D29" s="16">
        <f>'Model'!C6</f>
        <v>22.44</v>
      </c>
      <c r="E29" s="16">
        <f>10.1+0.2-E28</f>
        <v>5.2</v>
      </c>
      <c r="F29" s="16">
        <v>-2.2</v>
      </c>
      <c r="G29" s="16">
        <f>0.4-G28</f>
        <v>1.8</v>
      </c>
      <c r="H29" s="12">
        <f>C29/C28-1</f>
        <v>0.197368421052632</v>
      </c>
      <c r="I29" s="12">
        <f>(E29+G29+F29-C29)/C29</f>
        <v>-0.736263736263736</v>
      </c>
      <c r="J29" s="12">
        <f>AVERAGE(K26:K29)</f>
        <v>-0.714438747827656</v>
      </c>
      <c r="K29" s="12">
        <f>('Cashflow '!D26+'Cashflow '!D27+'Cashflow '!D28+'Cashflow '!D29+'Cashflow '!G26+'Cashflow '!G27+'Cashflow '!G28+'Cashflow '!G29-'Cashflow '!C26-'Cashflow '!C27-'Cashflow '!C28-'Cashflow '!C29)/('Cashflow '!C26+'Cashflow '!C27+'Cashflow '!C28+'Cashflow '!C29)</f>
        <v>-0.729378746865503</v>
      </c>
    </row>
    <row r="30" ht="20.05" customHeight="1">
      <c r="B30" s="28"/>
      <c r="C30" s="31">
        <f>53.8-C29-C28</f>
        <v>20.4</v>
      </c>
      <c r="D30" s="29">
        <v>19.474</v>
      </c>
      <c r="E30" s="16">
        <f>15.4-E29-E28</f>
        <v>5.1</v>
      </c>
      <c r="F30" s="16">
        <v>-2.2</v>
      </c>
      <c r="G30" s="29">
        <f>4.6-G29-G28</f>
        <v>4.2</v>
      </c>
      <c r="H30" s="12">
        <f>C30/C29-1</f>
        <v>0.120879120879121</v>
      </c>
      <c r="I30" s="12">
        <f>(E30+G30+F30-C30)/C30</f>
        <v>-0.651960784313725</v>
      </c>
      <c r="J30" s="12">
        <f>AVERAGE(K27:K30)</f>
        <v>-0.718056657813808</v>
      </c>
      <c r="K30" s="12">
        <f>('Cashflow '!D27+'Cashflow '!D28+'Cashflow '!D29+'Cashflow '!D30+'Cashflow '!G27+'Cashflow '!G28+'Cashflow '!G29+'Cashflow '!G30-'Cashflow '!C27-'Cashflow '!C28-'Cashflow '!C29-'Cashflow '!C30)/('Cashflow '!C27+'Cashflow '!C28+'Cashflow '!C29+'Cashflow '!C30)</f>
        <v>-0.727000253285678</v>
      </c>
    </row>
    <row r="31" ht="20.05" customHeight="1">
      <c r="B31" s="28"/>
      <c r="C31" s="31"/>
      <c r="D31" s="29">
        <f>'Model'!C6</f>
        <v>22.44</v>
      </c>
      <c r="E31" s="16"/>
      <c r="F31" s="16"/>
      <c r="G31" s="29"/>
      <c r="H31" s="12"/>
      <c r="I31" s="12">
        <f>'Model'!C7</f>
        <v>-0.685008721063767</v>
      </c>
      <c r="J31" s="12"/>
      <c r="K31" s="12"/>
    </row>
    <row r="32" ht="20.05" customHeight="1">
      <c r="B32" s="30">
        <v>2022</v>
      </c>
      <c r="C32" s="31"/>
      <c r="D32" s="16">
        <f>'Model'!D6</f>
        <v>21.7668</v>
      </c>
      <c r="E32" s="18"/>
      <c r="F32" s="18"/>
      <c r="G32" s="29"/>
      <c r="H32" s="12"/>
      <c r="I32" s="12"/>
      <c r="J32" s="12"/>
      <c r="K32" s="12"/>
    </row>
    <row r="33" ht="20.05" customHeight="1">
      <c r="B33" s="28"/>
      <c r="C33" s="31"/>
      <c r="D33" s="16">
        <f>'Model'!E6</f>
        <v>22.419804</v>
      </c>
      <c r="E33" s="18"/>
      <c r="F33" s="18"/>
      <c r="G33" s="29"/>
      <c r="H33" s="12"/>
      <c r="I33" s="12"/>
      <c r="J33" s="12"/>
      <c r="K33" s="12"/>
    </row>
    <row r="34" ht="20.05" customHeight="1">
      <c r="B34" s="28"/>
      <c r="C34" s="31"/>
      <c r="D34" s="16">
        <f>'Model'!F6</f>
        <v>23.31659616</v>
      </c>
      <c r="E34" s="18"/>
      <c r="F34" s="18"/>
      <c r="G34" s="29"/>
      <c r="H34" s="12"/>
      <c r="I34" s="12"/>
      <c r="J34" s="12"/>
      <c r="K34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59375" style="32" customWidth="1"/>
    <col min="2" max="2" width="7.91406" style="32" customWidth="1"/>
    <col min="3" max="3" width="11.5625" style="32" customWidth="1"/>
    <col min="4" max="4" width="11.2188" style="32" customWidth="1"/>
    <col min="5" max="6" width="11.0234" style="32" customWidth="1"/>
    <col min="7" max="7" width="11.2188" style="32" customWidth="1"/>
    <col min="8" max="13" width="10.3047" style="32" customWidth="1"/>
    <col min="14" max="16384" width="16.3516" style="32" customWidth="1"/>
  </cols>
  <sheetData>
    <row r="1" ht="18.55" customHeight="1"/>
    <row r="2" ht="27.65" customHeight="1">
      <c r="B2" t="s" s="2">
        <v>48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23">
        <v>1</v>
      </c>
      <c r="C3" t="s" s="23">
        <v>49</v>
      </c>
      <c r="D3" t="s" s="23">
        <v>50</v>
      </c>
      <c r="E3" t="s" s="23">
        <v>51</v>
      </c>
      <c r="F3" t="s" s="23">
        <v>52</v>
      </c>
      <c r="G3" t="s" s="23">
        <v>53</v>
      </c>
      <c r="H3" t="s" s="23">
        <v>11</v>
      </c>
      <c r="I3" t="s" s="23">
        <v>25</v>
      </c>
      <c r="J3" t="s" s="23">
        <v>10</v>
      </c>
      <c r="K3" t="s" s="23">
        <v>54</v>
      </c>
      <c r="L3" t="s" s="23">
        <v>34</v>
      </c>
      <c r="M3" t="s" s="23">
        <v>30</v>
      </c>
    </row>
    <row r="4" ht="20.25" customHeight="1">
      <c r="B4" s="24">
        <v>2015</v>
      </c>
      <c r="C4" s="25">
        <v>27.9</v>
      </c>
      <c r="D4" s="27">
        <v>10.1</v>
      </c>
      <c r="E4" s="27"/>
      <c r="F4" s="27">
        <v>-4.3</v>
      </c>
      <c r="G4" s="27"/>
      <c r="H4" s="27"/>
      <c r="I4" s="27"/>
      <c r="J4" s="27">
        <v>-3.1</v>
      </c>
      <c r="K4" s="27">
        <f>D4+F4</f>
        <v>5.8</v>
      </c>
      <c r="L4" s="27"/>
      <c r="M4" s="27">
        <f>-J4</f>
        <v>3.1</v>
      </c>
    </row>
    <row r="5" ht="20.05" customHeight="1">
      <c r="B5" s="28"/>
      <c r="C5" s="15">
        <v>23.9</v>
      </c>
      <c r="D5" s="16">
        <v>4.6</v>
      </c>
      <c r="E5" s="16"/>
      <c r="F5" s="16">
        <v>-0.9</v>
      </c>
      <c r="G5" s="16"/>
      <c r="H5" s="16"/>
      <c r="I5" s="16"/>
      <c r="J5" s="16">
        <v>-18.9</v>
      </c>
      <c r="K5" s="16">
        <f>D5+F5</f>
        <v>3.7</v>
      </c>
      <c r="L5" s="16"/>
      <c r="M5" s="16">
        <f>-J5+M4</f>
        <v>22</v>
      </c>
    </row>
    <row r="6" ht="20.05" customHeight="1">
      <c r="B6" s="28"/>
      <c r="C6" s="15">
        <v>18.6</v>
      </c>
      <c r="D6" s="16">
        <v>5.6</v>
      </c>
      <c r="E6" s="16"/>
      <c r="F6" s="16">
        <v>-1.8</v>
      </c>
      <c r="G6" s="16"/>
      <c r="H6" s="16"/>
      <c r="I6" s="16"/>
      <c r="J6" s="16">
        <v>-4.8</v>
      </c>
      <c r="K6" s="16">
        <f>D6+F6</f>
        <v>3.8</v>
      </c>
      <c r="L6" s="16"/>
      <c r="M6" s="16">
        <f>-J6+M5</f>
        <v>26.8</v>
      </c>
    </row>
    <row r="7" ht="20.05" customHeight="1">
      <c r="B7" s="28"/>
      <c r="C7" s="15">
        <v>24.6</v>
      </c>
      <c r="D7" s="16">
        <v>10.1</v>
      </c>
      <c r="E7" s="16"/>
      <c r="F7" s="16">
        <v>3</v>
      </c>
      <c r="G7" s="16"/>
      <c r="H7" s="16"/>
      <c r="I7" s="16"/>
      <c r="J7" s="16">
        <v>-5.3</v>
      </c>
      <c r="K7" s="16">
        <f>D7+F7</f>
        <v>13.1</v>
      </c>
      <c r="L7" s="16"/>
      <c r="M7" s="16">
        <f>-J7+M6</f>
        <v>32.1</v>
      </c>
    </row>
    <row r="8" ht="20.05" customHeight="1">
      <c r="B8" s="30">
        <v>2016</v>
      </c>
      <c r="C8" s="15">
        <v>15.2</v>
      </c>
      <c r="D8" s="16">
        <v>1.9</v>
      </c>
      <c r="E8" s="16"/>
      <c r="F8" s="16">
        <v>-1.2</v>
      </c>
      <c r="G8" s="16"/>
      <c r="H8" s="16"/>
      <c r="I8" s="16"/>
      <c r="J8" s="16">
        <v>-5.4</v>
      </c>
      <c r="K8" s="16">
        <f>D8+F8</f>
        <v>0.7</v>
      </c>
      <c r="L8" s="16">
        <f>AVERAGE(K5:K8)</f>
        <v>5.325</v>
      </c>
      <c r="M8" s="16">
        <f>-J8+M7</f>
        <v>37.5</v>
      </c>
    </row>
    <row r="9" ht="20.05" customHeight="1">
      <c r="B9" s="28"/>
      <c r="C9" s="15">
        <v>16.5</v>
      </c>
      <c r="D9" s="16">
        <v>2.1</v>
      </c>
      <c r="E9" s="16"/>
      <c r="F9" s="16">
        <v>-4.2</v>
      </c>
      <c r="G9" s="16"/>
      <c r="H9" s="16"/>
      <c r="I9" s="16"/>
      <c r="J9" s="16">
        <v>-3.7</v>
      </c>
      <c r="K9" s="16">
        <f>D9+F9</f>
        <v>-2.1</v>
      </c>
      <c r="L9" s="16">
        <f>AVERAGE(K6:K9)</f>
        <v>3.875</v>
      </c>
      <c r="M9" s="16">
        <f>-J9+M8</f>
        <v>41.2</v>
      </c>
    </row>
    <row r="10" ht="20.05" customHeight="1">
      <c r="B10" s="28"/>
      <c r="C10" s="15">
        <v>20.3</v>
      </c>
      <c r="D10" s="16">
        <v>8.699999999999999</v>
      </c>
      <c r="E10" s="16"/>
      <c r="F10" s="16">
        <v>-2.6</v>
      </c>
      <c r="G10" s="16"/>
      <c r="H10" s="16"/>
      <c r="I10" s="16"/>
      <c r="J10" s="16">
        <v>-4.6</v>
      </c>
      <c r="K10" s="16">
        <f>D10+F10</f>
        <v>6.1</v>
      </c>
      <c r="L10" s="16">
        <f>AVERAGE(K7:K10)</f>
        <v>4.45</v>
      </c>
      <c r="M10" s="16">
        <f>-J10+M9</f>
        <v>45.8</v>
      </c>
    </row>
    <row r="11" ht="20.05" customHeight="1">
      <c r="B11" s="28"/>
      <c r="C11" s="15">
        <v>22.2</v>
      </c>
      <c r="D11" s="16">
        <v>8</v>
      </c>
      <c r="E11" s="16"/>
      <c r="F11" s="16">
        <v>-1.3</v>
      </c>
      <c r="G11" s="16"/>
      <c r="H11" s="16"/>
      <c r="I11" s="16"/>
      <c r="J11" s="16">
        <v>-5.3</v>
      </c>
      <c r="K11" s="16">
        <f>D11+F11</f>
        <v>6.7</v>
      </c>
      <c r="L11" s="16">
        <f>AVERAGE(K8:K11)</f>
        <v>2.85</v>
      </c>
      <c r="M11" s="16">
        <f>-J11+M10</f>
        <v>51.1</v>
      </c>
    </row>
    <row r="12" ht="20.05" customHeight="1">
      <c r="B12" s="30">
        <v>2017</v>
      </c>
      <c r="C12" s="15">
        <v>17.7</v>
      </c>
      <c r="D12" s="16">
        <v>6.4</v>
      </c>
      <c r="E12" s="16"/>
      <c r="F12" s="16">
        <v>-0.5</v>
      </c>
      <c r="G12" s="16"/>
      <c r="H12" s="16"/>
      <c r="I12" s="16"/>
      <c r="J12" s="16">
        <v>-10</v>
      </c>
      <c r="K12" s="16">
        <f>D12+F12</f>
        <v>5.9</v>
      </c>
      <c r="L12" s="16">
        <f>AVERAGE(K9:K12)</f>
        <v>4.15</v>
      </c>
      <c r="M12" s="16">
        <f>-J12+M11</f>
        <v>61.1</v>
      </c>
    </row>
    <row r="13" ht="20.05" customHeight="1">
      <c r="B13" s="28"/>
      <c r="C13" s="15">
        <v>15</v>
      </c>
      <c r="D13" s="16">
        <v>1.5</v>
      </c>
      <c r="E13" s="16"/>
      <c r="F13" s="16">
        <v>0.8</v>
      </c>
      <c r="G13" s="16"/>
      <c r="H13" s="16"/>
      <c r="I13" s="16"/>
      <c r="J13" s="16">
        <v>0</v>
      </c>
      <c r="K13" s="16">
        <f>D13+F13</f>
        <v>2.3</v>
      </c>
      <c r="L13" s="16">
        <f>AVERAGE(K10:K13)</f>
        <v>5.25</v>
      </c>
      <c r="M13" s="16">
        <f>-J13+M12</f>
        <v>61.1</v>
      </c>
    </row>
    <row r="14" ht="20.05" customHeight="1">
      <c r="B14" s="28"/>
      <c r="C14" s="15">
        <v>19.5</v>
      </c>
      <c r="D14" s="16">
        <v>3.6</v>
      </c>
      <c r="E14" s="16"/>
      <c r="F14" s="16">
        <v>-3</v>
      </c>
      <c r="G14" s="16"/>
      <c r="H14" s="16"/>
      <c r="I14" s="16"/>
      <c r="J14" s="16">
        <v>-0.7</v>
      </c>
      <c r="K14" s="16">
        <f>D14+F14</f>
        <v>0.6</v>
      </c>
      <c r="L14" s="16">
        <f>AVERAGE(K11:K14)</f>
        <v>3.875</v>
      </c>
      <c r="M14" s="16">
        <f>-J14+M13</f>
        <v>61.8</v>
      </c>
    </row>
    <row r="15" ht="20.05" customHeight="1">
      <c r="B15" s="28"/>
      <c r="C15" s="15">
        <v>18.6</v>
      </c>
      <c r="D15" s="16">
        <v>6.2</v>
      </c>
      <c r="E15" s="16"/>
      <c r="F15" s="16">
        <v>-2.6</v>
      </c>
      <c r="G15" s="16"/>
      <c r="H15" s="16"/>
      <c r="I15" s="16"/>
      <c r="J15" s="16">
        <v>-0.9</v>
      </c>
      <c r="K15" s="16">
        <f>D15+F15</f>
        <v>3.6</v>
      </c>
      <c r="L15" s="16">
        <f>AVERAGE(K12:K15)</f>
        <v>3.1</v>
      </c>
      <c r="M15" s="16">
        <f>-J15+M14</f>
        <v>62.7</v>
      </c>
    </row>
    <row r="16" ht="20.05" customHeight="1">
      <c r="B16" s="30">
        <v>2018</v>
      </c>
      <c r="C16" s="15">
        <v>16.1</v>
      </c>
      <c r="D16" s="16">
        <v>2.3</v>
      </c>
      <c r="E16" s="16"/>
      <c r="F16" s="16">
        <v>-10.4</v>
      </c>
      <c r="G16" s="16"/>
      <c r="H16" s="16"/>
      <c r="I16" s="16"/>
      <c r="J16" s="16">
        <v>-0.5</v>
      </c>
      <c r="K16" s="16">
        <f>D16+F16</f>
        <v>-8.1</v>
      </c>
      <c r="L16" s="16">
        <f>AVERAGE(K13:K16)</f>
        <v>-0.4</v>
      </c>
      <c r="M16" s="16">
        <f>-J16+M15</f>
        <v>63.2</v>
      </c>
    </row>
    <row r="17" ht="20.05" customHeight="1">
      <c r="B17" s="28"/>
      <c r="C17" s="15">
        <v>14.3</v>
      </c>
      <c r="D17" s="16">
        <v>0.2</v>
      </c>
      <c r="E17" s="16"/>
      <c r="F17" s="16">
        <v>-3.7</v>
      </c>
      <c r="G17" s="16"/>
      <c r="H17" s="16"/>
      <c r="I17" s="16"/>
      <c r="J17" s="16">
        <v>14.5</v>
      </c>
      <c r="K17" s="16">
        <f>D17+F17</f>
        <v>-3.5</v>
      </c>
      <c r="L17" s="16">
        <f>AVERAGE(K14:K17)</f>
        <v>-1.85</v>
      </c>
      <c r="M17" s="16">
        <f>-J17+M16</f>
        <v>48.7</v>
      </c>
    </row>
    <row r="18" ht="20.05" customHeight="1">
      <c r="B18" s="28"/>
      <c r="C18" s="15">
        <v>18.4</v>
      </c>
      <c r="D18" s="16">
        <v>9</v>
      </c>
      <c r="E18" s="16"/>
      <c r="F18" s="16">
        <v>-10.5</v>
      </c>
      <c r="G18" s="16"/>
      <c r="H18" s="16"/>
      <c r="I18" s="16"/>
      <c r="J18" s="16">
        <v>-0.7</v>
      </c>
      <c r="K18" s="16">
        <f>D18+F18</f>
        <v>-1.5</v>
      </c>
      <c r="L18" s="16">
        <f>AVERAGE(K15:K18)</f>
        <v>-2.375</v>
      </c>
      <c r="M18" s="16">
        <f>-J18+M17</f>
        <v>49.4</v>
      </c>
    </row>
    <row r="19" ht="20.05" customHeight="1">
      <c r="B19" s="28"/>
      <c r="C19" s="15">
        <v>23.3</v>
      </c>
      <c r="D19" s="16">
        <v>7.7</v>
      </c>
      <c r="E19" s="16"/>
      <c r="F19" s="16">
        <v>-1.5</v>
      </c>
      <c r="G19" s="16"/>
      <c r="H19" s="16"/>
      <c r="I19" s="16"/>
      <c r="J19" s="16">
        <v>-0.8</v>
      </c>
      <c r="K19" s="16">
        <f>D19+F19</f>
        <v>6.2</v>
      </c>
      <c r="L19" s="16">
        <f>AVERAGE(K16:K19)</f>
        <v>-1.725</v>
      </c>
      <c r="M19" s="16">
        <f>-J19+M18</f>
        <v>50.2</v>
      </c>
    </row>
    <row r="20" ht="20.05" customHeight="1">
      <c r="B20" s="30">
        <v>2019</v>
      </c>
      <c r="C20" s="15">
        <v>20.3</v>
      </c>
      <c r="D20" s="16">
        <v>5.2</v>
      </c>
      <c r="E20" s="16"/>
      <c r="F20" s="16">
        <v>0.2</v>
      </c>
      <c r="G20" s="16"/>
      <c r="H20" s="16"/>
      <c r="I20" s="16"/>
      <c r="J20" s="16">
        <v>-0.8</v>
      </c>
      <c r="K20" s="16">
        <f>D20+F20</f>
        <v>5.4</v>
      </c>
      <c r="L20" s="16">
        <f>AVERAGE(K17:K20)</f>
        <v>1.65</v>
      </c>
      <c r="M20" s="16">
        <f>-J20+M19</f>
        <v>51</v>
      </c>
    </row>
    <row r="21" ht="20.05" customHeight="1">
      <c r="B21" s="28"/>
      <c r="C21" s="15">
        <v>19.6</v>
      </c>
      <c r="D21" s="16">
        <v>3.6</v>
      </c>
      <c r="E21" s="16"/>
      <c r="F21" s="16">
        <v>-0.5</v>
      </c>
      <c r="G21" s="16"/>
      <c r="H21" s="16"/>
      <c r="I21" s="16"/>
      <c r="J21" s="16">
        <v>-0.7</v>
      </c>
      <c r="K21" s="16">
        <f>D21+F21</f>
        <v>3.1</v>
      </c>
      <c r="L21" s="16">
        <f>AVERAGE(K18:K21)</f>
        <v>3.3</v>
      </c>
      <c r="M21" s="16">
        <f>-J21+M20</f>
        <v>51.7</v>
      </c>
    </row>
    <row r="22" ht="20.05" customHeight="1">
      <c r="B22" s="28"/>
      <c r="C22" s="15">
        <v>20.1</v>
      </c>
      <c r="D22" s="16">
        <v>8.965999999999999</v>
      </c>
      <c r="E22" s="16"/>
      <c r="F22" s="16">
        <v>-2.271</v>
      </c>
      <c r="G22" s="16"/>
      <c r="H22" s="16"/>
      <c r="I22" s="16"/>
      <c r="J22" s="16">
        <v>-1.5</v>
      </c>
      <c r="K22" s="16">
        <f>D22+F22</f>
        <v>6.695</v>
      </c>
      <c r="L22" s="16">
        <f>AVERAGE(K19:K22)</f>
        <v>5.34875</v>
      </c>
      <c r="M22" s="16">
        <f>-J22+M21</f>
        <v>53.2</v>
      </c>
    </row>
    <row r="23" ht="20.05" customHeight="1">
      <c r="B23" s="28"/>
      <c r="C23" s="15">
        <v>22</v>
      </c>
      <c r="D23" s="16">
        <v>6.634</v>
      </c>
      <c r="E23" s="16"/>
      <c r="F23" s="16">
        <v>-0.589</v>
      </c>
      <c r="G23" s="16"/>
      <c r="H23" s="16"/>
      <c r="I23" s="16"/>
      <c r="J23" s="16">
        <v>-18</v>
      </c>
      <c r="K23" s="16">
        <f>D23+F23</f>
        <v>6.045</v>
      </c>
      <c r="L23" s="16">
        <f>AVERAGE(K20:K23)</f>
        <v>5.31</v>
      </c>
      <c r="M23" s="16">
        <f>-J23+M22</f>
        <v>71.2</v>
      </c>
    </row>
    <row r="24" ht="20.05" customHeight="1">
      <c r="B24" s="30">
        <v>2020</v>
      </c>
      <c r="C24" s="15">
        <v>14.7</v>
      </c>
      <c r="D24" s="16">
        <v>3.97</v>
      </c>
      <c r="E24" s="16">
        <v>-2.3</v>
      </c>
      <c r="F24" s="16">
        <v>-3.9</v>
      </c>
      <c r="G24" s="16"/>
      <c r="H24" s="16"/>
      <c r="I24" s="16"/>
      <c r="J24" s="16">
        <v>-2</v>
      </c>
      <c r="K24" s="16">
        <f>D24+F24</f>
        <v>0.07000000000000001</v>
      </c>
      <c r="L24" s="16">
        <f>AVERAGE(K21:K24)</f>
        <v>3.9775</v>
      </c>
      <c r="M24" s="16">
        <f>-J24+M23</f>
        <v>73.2</v>
      </c>
    </row>
    <row r="25" ht="20.05" customHeight="1">
      <c r="B25" s="28"/>
      <c r="C25" s="15">
        <f>28.083-C24</f>
        <v>13.383</v>
      </c>
      <c r="D25" s="16">
        <f>8.204-D24</f>
        <v>4.234</v>
      </c>
      <c r="E25" s="16">
        <v>-4.1</v>
      </c>
      <c r="F25" s="16">
        <f>-6.783-F24</f>
        <v>-2.883</v>
      </c>
      <c r="G25" s="33"/>
      <c r="H25" s="16"/>
      <c r="I25" s="16"/>
      <c r="J25" s="16">
        <f>3.5-J24</f>
        <v>5.5</v>
      </c>
      <c r="K25" s="16">
        <f>D25+F25</f>
        <v>1.351</v>
      </c>
      <c r="L25" s="16">
        <f>AVERAGE(K22:K25)</f>
        <v>3.54025</v>
      </c>
      <c r="M25" s="16">
        <f>-J25+M24</f>
        <v>67.7</v>
      </c>
    </row>
    <row r="26" ht="20.05" customHeight="1">
      <c r="B26" s="28"/>
      <c r="C26" s="15">
        <f>40.034-SUM(C24:C25)</f>
        <v>11.951</v>
      </c>
      <c r="D26" s="16">
        <f>11.199-SUM(D24:D25)</f>
        <v>2.995</v>
      </c>
      <c r="E26" s="16">
        <v>-3.4</v>
      </c>
      <c r="F26" s="16">
        <f>-9.606-SUM(F24:F25)</f>
        <v>-2.823</v>
      </c>
      <c r="G26" s="33"/>
      <c r="H26" s="16"/>
      <c r="I26" s="16"/>
      <c r="J26" s="16">
        <f>1.5-SUM(J24:J25)</f>
        <v>-2</v>
      </c>
      <c r="K26" s="16">
        <f>D26+F26</f>
        <v>0.172</v>
      </c>
      <c r="L26" s="16">
        <f>AVERAGE(K23:K26)</f>
        <v>1.9095</v>
      </c>
      <c r="M26" s="16">
        <f>-J26+M25</f>
        <v>69.7</v>
      </c>
    </row>
    <row r="27" ht="20.05" customHeight="1">
      <c r="B27" s="28"/>
      <c r="C27" s="15">
        <f>54.2-SUM(C24:C26)</f>
        <v>14.166</v>
      </c>
      <c r="D27" s="16">
        <f>17.1-SUM(D24:D26)</f>
        <v>5.901</v>
      </c>
      <c r="E27" s="16">
        <v>-3.8</v>
      </c>
      <c r="F27" s="16">
        <f>-9.6-SUM(F24:F26)</f>
        <v>0.006</v>
      </c>
      <c r="G27" s="33">
        <v>-0.7</v>
      </c>
      <c r="H27" s="16"/>
      <c r="I27" s="16"/>
      <c r="J27" s="16">
        <f>-12.6-SUM(J24:J26)</f>
        <v>-14.1</v>
      </c>
      <c r="K27" s="16">
        <f>D27+F27</f>
        <v>5.907</v>
      </c>
      <c r="L27" s="16">
        <f>AVERAGE(K24:K27)</f>
        <v>1.875</v>
      </c>
      <c r="M27" s="16">
        <f>-J27+M26</f>
        <v>83.8</v>
      </c>
    </row>
    <row r="28" ht="20.05" customHeight="1">
      <c r="B28" s="30">
        <v>2021</v>
      </c>
      <c r="C28" s="34">
        <v>15.3</v>
      </c>
      <c r="D28" s="16">
        <v>3.1</v>
      </c>
      <c r="E28" s="16">
        <v>-1.3</v>
      </c>
      <c r="F28" s="16">
        <v>-0.9</v>
      </c>
      <c r="G28" s="16">
        <v>-0.1</v>
      </c>
      <c r="H28" s="16">
        <v>-4.6</v>
      </c>
      <c r="I28" s="18"/>
      <c r="J28" s="16">
        <f>-4.7</f>
        <v>-4.7</v>
      </c>
      <c r="K28" s="16">
        <f>D28+F28</f>
        <v>2.2</v>
      </c>
      <c r="L28" s="16">
        <f>AVERAGE(K25:K28)</f>
        <v>2.4075</v>
      </c>
      <c r="M28" s="16">
        <f>-J28+M27</f>
        <v>88.5</v>
      </c>
    </row>
    <row r="29" ht="20.05" customHeight="1">
      <c r="B29" s="28"/>
      <c r="C29" s="34">
        <f>34.1-C28</f>
        <v>18.8</v>
      </c>
      <c r="D29" s="33">
        <f>8.4-D28</f>
        <v>5.3</v>
      </c>
      <c r="E29" s="33">
        <v>-2.7</v>
      </c>
      <c r="F29" s="33">
        <f>-2.2-F28</f>
        <v>-1.3</v>
      </c>
      <c r="G29" s="33">
        <v>-0.2</v>
      </c>
      <c r="H29" s="16">
        <v>-2.2</v>
      </c>
      <c r="I29" s="18"/>
      <c r="J29" s="16">
        <f>-7.1-J28</f>
        <v>-2.4</v>
      </c>
      <c r="K29" s="16">
        <f>D29+F29</f>
        <v>4</v>
      </c>
      <c r="L29" s="16">
        <f>AVERAGE(K26:K29)</f>
        <v>3.06975</v>
      </c>
      <c r="M29" s="16">
        <f>-J29+M28</f>
        <v>90.90000000000001</v>
      </c>
    </row>
    <row r="30" ht="20.05" customHeight="1">
      <c r="B30" s="28"/>
      <c r="C30" s="34">
        <f>56.9-C29-C28</f>
        <v>22.8</v>
      </c>
      <c r="D30" s="33">
        <f>14.6-D29-D28</f>
        <v>6.2</v>
      </c>
      <c r="E30" s="33">
        <f>-6.2-E29-E28</f>
        <v>-2.2</v>
      </c>
      <c r="F30" s="33">
        <f>-3.8-F29-F28</f>
        <v>-1.6</v>
      </c>
      <c r="G30" s="33">
        <f>-0.4-G29-G28</f>
        <v>-0.1</v>
      </c>
      <c r="H30" s="16">
        <v>-2.4</v>
      </c>
      <c r="I30" s="18"/>
      <c r="J30" s="16">
        <f>-9.6-J29-J28</f>
        <v>-2.5</v>
      </c>
      <c r="K30" s="16">
        <f>D30+F30</f>
        <v>4.6</v>
      </c>
      <c r="L30" s="16">
        <f>AVERAGE(K27:K30)</f>
        <v>4.17675</v>
      </c>
      <c r="M30" s="16">
        <f>-J30+M29</f>
        <v>93.40000000000001</v>
      </c>
    </row>
    <row r="31" ht="20.05" customHeight="1">
      <c r="B31" s="28"/>
      <c r="C31" s="34"/>
      <c r="D31" s="33"/>
      <c r="E31" s="33"/>
      <c r="F31" s="33"/>
      <c r="G31" s="33"/>
      <c r="H31" s="16"/>
      <c r="I31" s="16"/>
      <c r="J31" s="16"/>
      <c r="K31" s="16"/>
      <c r="L31" s="16">
        <f>SUM('Model'!F9:F10)</f>
        <v>5.1445244448781</v>
      </c>
      <c r="M31" s="16">
        <f>'Model'!F33</f>
        <v>104.251239360139</v>
      </c>
    </row>
  </sheetData>
  <mergeCells count="1">
    <mergeCell ref="B2:M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8" style="35" customWidth="1"/>
    <col min="3" max="11" width="10.5938" style="35" customWidth="1"/>
    <col min="12" max="16384" width="16.3516" style="35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23">
        <v>1</v>
      </c>
      <c r="C3" t="s" s="23">
        <v>55</v>
      </c>
      <c r="D3" t="s" s="23">
        <v>56</v>
      </c>
      <c r="E3" t="s" s="23">
        <v>22</v>
      </c>
      <c r="F3" t="s" s="23">
        <v>23</v>
      </c>
      <c r="G3" t="s" s="23">
        <v>11</v>
      </c>
      <c r="H3" t="s" s="23">
        <v>25</v>
      </c>
      <c r="I3" t="s" s="23">
        <v>57</v>
      </c>
      <c r="J3" t="s" s="23">
        <v>27</v>
      </c>
      <c r="K3" t="s" s="23">
        <v>36</v>
      </c>
    </row>
    <row r="4" ht="20.25" customHeight="1">
      <c r="B4" s="24">
        <v>2015</v>
      </c>
      <c r="C4" s="36">
        <v>51</v>
      </c>
      <c r="D4" s="37">
        <v>351</v>
      </c>
      <c r="E4" s="37">
        <f>D4-C4</f>
        <v>300</v>
      </c>
      <c r="F4" s="37">
        <v>114</v>
      </c>
      <c r="G4" s="37">
        <v>93</v>
      </c>
      <c r="H4" s="37">
        <v>258</v>
      </c>
      <c r="I4" s="37">
        <f>G4+H4-C4-E4</f>
        <v>0</v>
      </c>
      <c r="J4" s="37">
        <f>C4-G4</f>
        <v>-42</v>
      </c>
      <c r="K4" s="37"/>
    </row>
    <row r="5" ht="20.05" customHeight="1">
      <c r="B5" s="28"/>
      <c r="C5" s="19">
        <v>35</v>
      </c>
      <c r="D5" s="20">
        <v>336</v>
      </c>
      <c r="E5" s="20">
        <f>D5-C5</f>
        <v>301</v>
      </c>
      <c r="F5" s="20">
        <v>120</v>
      </c>
      <c r="G5" s="20">
        <v>90</v>
      </c>
      <c r="H5" s="20">
        <v>246</v>
      </c>
      <c r="I5" s="20">
        <f>G5+H5-C5-E5</f>
        <v>0</v>
      </c>
      <c r="J5" s="20">
        <f>C5-G5</f>
        <v>-55</v>
      </c>
      <c r="K5" s="20"/>
    </row>
    <row r="6" ht="20.05" customHeight="1">
      <c r="B6" s="28"/>
      <c r="C6" s="19">
        <v>34</v>
      </c>
      <c r="D6" s="20">
        <v>329</v>
      </c>
      <c r="E6" s="20">
        <f>D6-C6</f>
        <v>295</v>
      </c>
      <c r="F6" s="20">
        <v>126</v>
      </c>
      <c r="G6" s="20">
        <v>90</v>
      </c>
      <c r="H6" s="20">
        <v>239</v>
      </c>
      <c r="I6" s="20">
        <f>G6+H6-C6-E6</f>
        <v>0</v>
      </c>
      <c r="J6" s="20">
        <f>C6-G6</f>
        <v>-56</v>
      </c>
      <c r="K6" s="20"/>
    </row>
    <row r="7" ht="20.05" customHeight="1">
      <c r="B7" s="28"/>
      <c r="C7" s="19">
        <v>42</v>
      </c>
      <c r="D7" s="20">
        <v>308</v>
      </c>
      <c r="E7" s="20">
        <f>D7-C7</f>
        <v>266</v>
      </c>
      <c r="F7" s="20">
        <v>128</v>
      </c>
      <c r="G7" s="20">
        <v>81</v>
      </c>
      <c r="H7" s="20">
        <v>227</v>
      </c>
      <c r="I7" s="20">
        <f>G7+H7-C7-E7</f>
        <v>0</v>
      </c>
      <c r="J7" s="20">
        <f>C7-G7</f>
        <v>-39</v>
      </c>
      <c r="K7" s="20"/>
    </row>
    <row r="8" ht="20.05" customHeight="1">
      <c r="B8" s="30">
        <v>2016</v>
      </c>
      <c r="C8" s="19">
        <v>37</v>
      </c>
      <c r="D8" s="20">
        <v>300</v>
      </c>
      <c r="E8" s="20">
        <f>D8-C8</f>
        <v>263</v>
      </c>
      <c r="F8" s="20">
        <v>134</v>
      </c>
      <c r="G8" s="20">
        <v>74</v>
      </c>
      <c r="H8" s="20">
        <v>226</v>
      </c>
      <c r="I8" s="20">
        <f>G8+H8-C8-E8</f>
        <v>0</v>
      </c>
      <c r="J8" s="20">
        <f>C8-G8</f>
        <v>-37</v>
      </c>
      <c r="K8" s="20"/>
    </row>
    <row r="9" ht="20.05" customHeight="1">
      <c r="B9" s="28"/>
      <c r="C9" s="19">
        <v>31</v>
      </c>
      <c r="D9" s="20">
        <v>292</v>
      </c>
      <c r="E9" s="20">
        <f>D9-C9</f>
        <v>261</v>
      </c>
      <c r="F9" s="20">
        <v>139</v>
      </c>
      <c r="G9" s="20">
        <v>70</v>
      </c>
      <c r="H9" s="20">
        <v>222</v>
      </c>
      <c r="I9" s="20">
        <f>G9+H9-C9-E9</f>
        <v>0</v>
      </c>
      <c r="J9" s="20">
        <f>C9-G9</f>
        <v>-39</v>
      </c>
      <c r="K9" s="20"/>
    </row>
    <row r="10" ht="20.05" customHeight="1">
      <c r="B10" s="28"/>
      <c r="C10" s="19">
        <v>32</v>
      </c>
      <c r="D10" s="20">
        <v>290</v>
      </c>
      <c r="E10" s="20">
        <f>D10-C10</f>
        <v>258</v>
      </c>
      <c r="F10" s="20">
        <v>141</v>
      </c>
      <c r="G10" s="20">
        <v>69</v>
      </c>
      <c r="H10" s="20">
        <v>221</v>
      </c>
      <c r="I10" s="20">
        <f>G10+H10-C10-E10</f>
        <v>0</v>
      </c>
      <c r="J10" s="20">
        <f>C10-G10</f>
        <v>-37</v>
      </c>
      <c r="K10" s="20"/>
    </row>
    <row r="11" ht="20.05" customHeight="1">
      <c r="B11" s="28"/>
      <c r="C11" s="19">
        <v>34</v>
      </c>
      <c r="D11" s="20">
        <v>260</v>
      </c>
      <c r="E11" s="20">
        <f>D11-C11</f>
        <v>226</v>
      </c>
      <c r="F11" s="20">
        <v>146</v>
      </c>
      <c r="G11" s="20">
        <v>63</v>
      </c>
      <c r="H11" s="20">
        <v>197</v>
      </c>
      <c r="I11" s="20">
        <f>G11+H11-C11-E11</f>
        <v>0</v>
      </c>
      <c r="J11" s="20">
        <f>C11-G11</f>
        <v>-29</v>
      </c>
      <c r="K11" s="20"/>
    </row>
    <row r="12" ht="20.05" customHeight="1">
      <c r="B12" s="30">
        <v>2017</v>
      </c>
      <c r="C12" s="19">
        <v>28</v>
      </c>
      <c r="D12" s="20">
        <v>250</v>
      </c>
      <c r="E12" s="20">
        <f>D12-C12</f>
        <v>222</v>
      </c>
      <c r="F12" s="20">
        <v>152</v>
      </c>
      <c r="G12" s="20">
        <v>55</v>
      </c>
      <c r="H12" s="20">
        <v>195</v>
      </c>
      <c r="I12" s="20">
        <f>G12+H12-C12-E12</f>
        <v>0</v>
      </c>
      <c r="J12" s="20">
        <f>C12-G12</f>
        <v>-27</v>
      </c>
      <c r="K12" s="20"/>
    </row>
    <row r="13" ht="20.05" customHeight="1">
      <c r="B13" s="28"/>
      <c r="C13" s="19">
        <v>32</v>
      </c>
      <c r="D13" s="20">
        <v>249</v>
      </c>
      <c r="E13" s="20">
        <f>D13-C13</f>
        <v>217</v>
      </c>
      <c r="F13" s="20">
        <v>158</v>
      </c>
      <c r="G13" s="20">
        <v>56</v>
      </c>
      <c r="H13" s="20">
        <v>193</v>
      </c>
      <c r="I13" s="20">
        <f>G13+H13-C13-E13</f>
        <v>0</v>
      </c>
      <c r="J13" s="20">
        <f>C13-G13</f>
        <v>-24</v>
      </c>
      <c r="K13" s="20"/>
    </row>
    <row r="14" ht="20.05" customHeight="1">
      <c r="B14" s="28"/>
      <c r="C14" s="19">
        <v>32</v>
      </c>
      <c r="D14" s="20">
        <v>244</v>
      </c>
      <c r="E14" s="20">
        <f>D14-C14</f>
        <v>212</v>
      </c>
      <c r="F14" s="20">
        <v>159</v>
      </c>
      <c r="G14" s="20">
        <v>54</v>
      </c>
      <c r="H14" s="20">
        <v>190</v>
      </c>
      <c r="I14" s="20">
        <f>G14+H14-C14-E14</f>
        <v>0</v>
      </c>
      <c r="J14" s="20">
        <f>C14-G14</f>
        <v>-22</v>
      </c>
      <c r="K14" s="20"/>
    </row>
    <row r="15" ht="20.05" customHeight="1">
      <c r="B15" s="28"/>
      <c r="C15" s="19">
        <v>35</v>
      </c>
      <c r="D15" s="20">
        <v>240</v>
      </c>
      <c r="E15" s="20">
        <f>D15-C15</f>
        <v>205</v>
      </c>
      <c r="F15" s="20">
        <v>160</v>
      </c>
      <c r="G15" s="20">
        <v>52</v>
      </c>
      <c r="H15" s="20">
        <v>188</v>
      </c>
      <c r="I15" s="20">
        <f>G15+H15-C15-E15</f>
        <v>0</v>
      </c>
      <c r="J15" s="20">
        <f>C15-G15</f>
        <v>-17</v>
      </c>
      <c r="K15" s="20"/>
    </row>
    <row r="16" ht="20.05" customHeight="1">
      <c r="B16" s="30">
        <v>2018</v>
      </c>
      <c r="C16" s="19">
        <v>26</v>
      </c>
      <c r="D16" s="20">
        <v>235</v>
      </c>
      <c r="E16" s="20">
        <f>D16-C16</f>
        <v>209</v>
      </c>
      <c r="F16" s="20">
        <v>166</v>
      </c>
      <c r="G16" s="20">
        <v>52</v>
      </c>
      <c r="H16" s="20">
        <v>183</v>
      </c>
      <c r="I16" s="20">
        <f>G16+H16-C16-E16</f>
        <v>0</v>
      </c>
      <c r="J16" s="20">
        <f>C16-G16</f>
        <v>-26</v>
      </c>
      <c r="K16" s="20"/>
    </row>
    <row r="17" ht="20.05" customHeight="1">
      <c r="B17" s="28"/>
      <c r="C17" s="19">
        <v>37</v>
      </c>
      <c r="D17" s="20">
        <v>249</v>
      </c>
      <c r="E17" s="20">
        <f>D17-C17</f>
        <v>212</v>
      </c>
      <c r="F17" s="20">
        <v>172</v>
      </c>
      <c r="G17" s="20">
        <v>70</v>
      </c>
      <c r="H17" s="20">
        <v>179</v>
      </c>
      <c r="I17" s="20">
        <f>G17+H17-C17-E17</f>
        <v>0</v>
      </c>
      <c r="J17" s="20">
        <f>C17-G17</f>
        <v>-33</v>
      </c>
      <c r="K17" s="20"/>
    </row>
    <row r="18" ht="20.05" customHeight="1">
      <c r="B18" s="28"/>
      <c r="C18" s="19">
        <v>34</v>
      </c>
      <c r="D18" s="20">
        <v>249</v>
      </c>
      <c r="E18" s="20">
        <f>D18-C18</f>
        <v>215</v>
      </c>
      <c r="F18" s="20">
        <f>178</f>
        <v>178</v>
      </c>
      <c r="G18" s="20">
        <v>71</v>
      </c>
      <c r="H18" s="20">
        <v>178</v>
      </c>
      <c r="I18" s="20">
        <f>G18+H18-C18-E18</f>
        <v>0</v>
      </c>
      <c r="J18" s="20">
        <f>C18-G18</f>
        <v>-37</v>
      </c>
      <c r="K18" s="20"/>
    </row>
    <row r="19" ht="20.05" customHeight="1">
      <c r="B19" s="28"/>
      <c r="C19" s="19">
        <v>40</v>
      </c>
      <c r="D19" s="20">
        <v>240</v>
      </c>
      <c r="E19" s="20">
        <f>D19-C19</f>
        <v>200</v>
      </c>
      <c r="F19" s="20">
        <v>187</v>
      </c>
      <c r="G19" s="20">
        <v>69</v>
      </c>
      <c r="H19" s="20">
        <v>171</v>
      </c>
      <c r="I19" s="20">
        <f>G19+H19-C19-E19</f>
        <v>0</v>
      </c>
      <c r="J19" s="20">
        <f>C19-G19</f>
        <v>-29</v>
      </c>
      <c r="K19" s="20"/>
    </row>
    <row r="20" ht="20.05" customHeight="1">
      <c r="B20" s="30">
        <v>2019</v>
      </c>
      <c r="C20" s="19">
        <v>44</v>
      </c>
      <c r="D20" s="20">
        <v>238</v>
      </c>
      <c r="E20" s="20">
        <f>D20-C20</f>
        <v>194</v>
      </c>
      <c r="F20" s="20">
        <v>184</v>
      </c>
      <c r="G20" s="20">
        <v>65</v>
      </c>
      <c r="H20" s="20">
        <v>173</v>
      </c>
      <c r="I20" s="20">
        <f>G20+H20-C20-E20</f>
        <v>0</v>
      </c>
      <c r="J20" s="20">
        <f>C20-G20</f>
        <v>-21</v>
      </c>
      <c r="K20" s="20"/>
    </row>
    <row r="21" ht="20.05" customHeight="1">
      <c r="B21" s="28"/>
      <c r="C21" s="19">
        <v>47</v>
      </c>
      <c r="D21" s="20">
        <v>234</v>
      </c>
      <c r="E21" s="20">
        <f>D21-C21</f>
        <v>187</v>
      </c>
      <c r="F21" s="20">
        <v>188</v>
      </c>
      <c r="G21" s="20">
        <v>62</v>
      </c>
      <c r="H21" s="20">
        <v>172</v>
      </c>
      <c r="I21" s="20">
        <f>G21+H21-C21-E21</f>
        <v>0</v>
      </c>
      <c r="J21" s="20">
        <f>C21-G21</f>
        <v>-15</v>
      </c>
      <c r="K21" s="20"/>
    </row>
    <row r="22" ht="20.05" customHeight="1">
      <c r="B22" s="28"/>
      <c r="C22" s="19">
        <v>52</v>
      </c>
      <c r="D22" s="20">
        <v>236</v>
      </c>
      <c r="E22" s="20">
        <f>D22-C22</f>
        <v>184</v>
      </c>
      <c r="F22" s="20">
        <v>193</v>
      </c>
      <c r="G22" s="20">
        <v>65</v>
      </c>
      <c r="H22" s="20">
        <v>171</v>
      </c>
      <c r="I22" s="20">
        <f>G22+H22-C22-E22</f>
        <v>0</v>
      </c>
      <c r="J22" s="20">
        <f>C22-G22</f>
        <v>-13</v>
      </c>
      <c r="K22" s="20"/>
    </row>
    <row r="23" ht="20.05" customHeight="1">
      <c r="B23" s="28"/>
      <c r="C23" s="19">
        <v>40</v>
      </c>
      <c r="D23" s="20">
        <v>218</v>
      </c>
      <c r="E23" s="20">
        <f>D23-C23</f>
        <v>178</v>
      </c>
      <c r="F23" s="20">
        <v>185</v>
      </c>
      <c r="G23" s="20">
        <v>46</v>
      </c>
      <c r="H23" s="20">
        <v>172</v>
      </c>
      <c r="I23" s="20">
        <f>G23+H23-C23-E23</f>
        <v>0</v>
      </c>
      <c r="J23" s="20">
        <f>C23-G23</f>
        <v>-6</v>
      </c>
      <c r="K23" s="20"/>
    </row>
    <row r="24" ht="20.05" customHeight="1">
      <c r="B24" s="30">
        <v>2020</v>
      </c>
      <c r="C24" s="19">
        <v>38</v>
      </c>
      <c r="D24" s="20">
        <v>215</v>
      </c>
      <c r="E24" s="20">
        <f>D24-C24</f>
        <v>177</v>
      </c>
      <c r="F24" s="20">
        <v>190</v>
      </c>
      <c r="G24" s="20">
        <v>45</v>
      </c>
      <c r="H24" s="20">
        <v>170</v>
      </c>
      <c r="I24" s="20">
        <f>G24+H24-C24-E24</f>
        <v>0</v>
      </c>
      <c r="J24" s="20">
        <f>C24-G24</f>
        <v>-7</v>
      </c>
      <c r="K24" s="20"/>
    </row>
    <row r="25" ht="20.05" customHeight="1">
      <c r="B25" s="28"/>
      <c r="C25" s="19">
        <v>45.166</v>
      </c>
      <c r="D25" s="20">
        <v>217.943</v>
      </c>
      <c r="E25" s="20">
        <f>D25-C25</f>
        <v>172.777</v>
      </c>
      <c r="F25" s="20">
        <v>194.244</v>
      </c>
      <c r="G25" s="20">
        <v>50.759</v>
      </c>
      <c r="H25" s="20">
        <v>167.174</v>
      </c>
      <c r="I25" s="20">
        <f>G25+H25-C25-E25</f>
        <v>-0.01</v>
      </c>
      <c r="J25" s="20">
        <f>C25-G25</f>
        <v>-5.593</v>
      </c>
      <c r="K25" s="20"/>
    </row>
    <row r="26" ht="20.05" customHeight="1">
      <c r="B26" s="28"/>
      <c r="C26" s="19">
        <v>43</v>
      </c>
      <c r="D26" s="20">
        <v>213</v>
      </c>
      <c r="E26" s="20">
        <f>D26-C26</f>
        <v>170</v>
      </c>
      <c r="F26" s="20">
        <f>191</f>
        <v>191</v>
      </c>
      <c r="G26" s="20">
        <v>49</v>
      </c>
      <c r="H26" s="20">
        <v>164</v>
      </c>
      <c r="I26" s="20">
        <f>G26+H26-C26-E26</f>
        <v>0</v>
      </c>
      <c r="J26" s="20">
        <f>C26-G26</f>
        <v>-6</v>
      </c>
      <c r="K26" s="20"/>
    </row>
    <row r="27" ht="20.05" customHeight="1">
      <c r="B27" s="28"/>
      <c r="C27" s="19">
        <v>35</v>
      </c>
      <c r="D27" s="20">
        <v>195</v>
      </c>
      <c r="E27" s="20">
        <f>D27-C27</f>
        <v>160</v>
      </c>
      <c r="F27" s="20">
        <v>193</v>
      </c>
      <c r="G27" s="20">
        <v>38</v>
      </c>
      <c r="H27" s="20">
        <v>157</v>
      </c>
      <c r="I27" s="20">
        <f>G27+H27-C27-E27</f>
        <v>0</v>
      </c>
      <c r="J27" s="20">
        <f>C27-G27</f>
        <v>-3</v>
      </c>
      <c r="K27" s="20"/>
    </row>
    <row r="28" ht="20.05" customHeight="1">
      <c r="B28" s="30">
        <v>2021</v>
      </c>
      <c r="C28" s="19">
        <v>33</v>
      </c>
      <c r="D28" s="20">
        <v>188</v>
      </c>
      <c r="E28" s="20">
        <f>D28-C28</f>
        <v>155</v>
      </c>
      <c r="F28" s="20">
        <f>191+7</f>
        <v>198</v>
      </c>
      <c r="G28" s="20">
        <v>33</v>
      </c>
      <c r="H28" s="20">
        <v>155</v>
      </c>
      <c r="I28" s="20">
        <f>G28+H28-C28-E28</f>
        <v>0</v>
      </c>
      <c r="J28" s="20">
        <f>C28-G28</f>
        <v>0</v>
      </c>
      <c r="K28" s="20"/>
    </row>
    <row r="29" ht="20.05" customHeight="1">
      <c r="B29" s="28"/>
      <c r="C29" s="19">
        <v>34</v>
      </c>
      <c r="D29" s="20">
        <v>186</v>
      </c>
      <c r="E29" s="20">
        <f>D29-C29</f>
        <v>152</v>
      </c>
      <c r="F29" s="20">
        <f>193+6</f>
        <v>199</v>
      </c>
      <c r="G29" s="20">
        <v>29</v>
      </c>
      <c r="H29" s="20">
        <v>157</v>
      </c>
      <c r="I29" s="20">
        <f>G29+H29-C29-E29</f>
        <v>0</v>
      </c>
      <c r="J29" s="20">
        <f>C29-G29</f>
        <v>5</v>
      </c>
      <c r="K29" s="20"/>
    </row>
    <row r="30" ht="20.05" customHeight="1">
      <c r="B30" s="28"/>
      <c r="C30" s="19">
        <v>36.4</v>
      </c>
      <c r="D30" s="20">
        <v>181.8</v>
      </c>
      <c r="E30" s="20">
        <f>D30-C30</f>
        <v>145.4</v>
      </c>
      <c r="F30" s="20">
        <f>197.9+5.7</f>
        <v>203.6</v>
      </c>
      <c r="G30" s="20">
        <v>20.3</v>
      </c>
      <c r="H30" s="20">
        <v>161.5</v>
      </c>
      <c r="I30" s="20">
        <f>G30+H30-C30-E30</f>
        <v>0</v>
      </c>
      <c r="J30" s="20">
        <f>C30-G30</f>
        <v>16.1</v>
      </c>
      <c r="K30" s="20">
        <f>J30</f>
        <v>16.1</v>
      </c>
    </row>
    <row r="31" ht="20.05" customHeight="1">
      <c r="B31" s="28"/>
      <c r="C31" s="19"/>
      <c r="D31" s="20"/>
      <c r="E31" s="20"/>
      <c r="F31" s="20"/>
      <c r="G31" s="20"/>
      <c r="H31" s="20"/>
      <c r="I31" s="20"/>
      <c r="J31" s="20"/>
      <c r="K31" s="20">
        <f>'Model'!F30</f>
        <v>28.5456074148771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2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0391" style="38" customWidth="1"/>
    <col min="2" max="4" width="11.0547" style="38" customWidth="1"/>
    <col min="5" max="16384" width="16.3516" style="38" customWidth="1"/>
  </cols>
  <sheetData>
    <row r="1" ht="12.2" customHeight="1"/>
    <row r="2" ht="27.65" customHeight="1">
      <c r="B2" t="s" s="2">
        <v>58</v>
      </c>
      <c r="C2" s="2"/>
      <c r="D2" s="2"/>
    </row>
    <row r="3" ht="20.25" customHeight="1">
      <c r="B3" s="5"/>
      <c r="C3" t="s" s="4">
        <v>59</v>
      </c>
      <c r="D3" t="s" s="4">
        <v>39</v>
      </c>
    </row>
    <row r="4" ht="20.25" customHeight="1">
      <c r="B4" s="24">
        <v>2018</v>
      </c>
      <c r="C4" s="36">
        <v>695</v>
      </c>
      <c r="D4" s="37"/>
    </row>
    <row r="5" ht="20.05" customHeight="1">
      <c r="B5" s="28"/>
      <c r="C5" s="19">
        <v>570</v>
      </c>
      <c r="D5" s="20"/>
    </row>
    <row r="6" ht="20.05" customHeight="1">
      <c r="B6" s="28"/>
      <c r="C6" s="19">
        <v>610</v>
      </c>
      <c r="D6" s="20"/>
    </row>
    <row r="7" ht="20.05" customHeight="1">
      <c r="B7" s="28"/>
      <c r="C7" s="19">
        <v>488</v>
      </c>
      <c r="D7" s="20"/>
    </row>
    <row r="8" ht="20.05" customHeight="1">
      <c r="B8" s="30">
        <v>2019</v>
      </c>
      <c r="C8" s="19">
        <v>585</v>
      </c>
      <c r="D8" s="20"/>
    </row>
    <row r="9" ht="20.05" customHeight="1">
      <c r="B9" s="28"/>
      <c r="C9" s="19">
        <v>655</v>
      </c>
      <c r="D9" s="20"/>
    </row>
    <row r="10" ht="20.05" customHeight="1">
      <c r="B10" s="28"/>
      <c r="C10" s="19">
        <v>510</v>
      </c>
      <c r="D10" s="20"/>
    </row>
    <row r="11" ht="20.05" customHeight="1">
      <c r="B11" s="28"/>
      <c r="C11" s="39">
        <v>482</v>
      </c>
      <c r="D11" s="20"/>
    </row>
    <row r="12" ht="20.05" customHeight="1">
      <c r="B12" s="30">
        <v>2020</v>
      </c>
      <c r="C12" s="39">
        <v>304</v>
      </c>
      <c r="D12" s="20"/>
    </row>
    <row r="13" ht="20.05" customHeight="1">
      <c r="B13" s="28"/>
      <c r="C13" s="39">
        <v>318</v>
      </c>
      <c r="D13" s="18"/>
    </row>
    <row r="14" ht="20.05" customHeight="1">
      <c r="B14" s="28"/>
      <c r="C14" s="19">
        <v>374</v>
      </c>
      <c r="D14" s="18"/>
    </row>
    <row r="15" ht="20.05" customHeight="1">
      <c r="B15" s="28"/>
      <c r="C15" s="19">
        <v>472</v>
      </c>
      <c r="D15" s="18"/>
    </row>
    <row r="16" ht="20.05" customHeight="1">
      <c r="B16" s="30">
        <v>2021</v>
      </c>
      <c r="C16" s="19">
        <v>414</v>
      </c>
      <c r="D16" s="18"/>
    </row>
    <row r="17" ht="20.05" customHeight="1">
      <c r="B17" s="28"/>
      <c r="C17" s="19">
        <v>458</v>
      </c>
      <c r="D17" s="18"/>
    </row>
    <row r="18" ht="20.05" customHeight="1">
      <c r="B18" s="28"/>
      <c r="C18" s="19">
        <v>630</v>
      </c>
      <c r="D18" s="18"/>
    </row>
    <row r="19" ht="20.05" customHeight="1">
      <c r="B19" s="28"/>
      <c r="C19" s="19">
        <v>1035</v>
      </c>
      <c r="D19" s="20">
        <f>C19</f>
        <v>1035</v>
      </c>
    </row>
    <row r="20" ht="20.05" customHeight="1">
      <c r="B20" s="28"/>
      <c r="C20" s="19"/>
      <c r="D20" s="20">
        <f>'Model'!F43</f>
        <v>2031.538065131710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