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</sheets>
</workbook>
</file>

<file path=xl/sharedStrings.xml><?xml version="1.0" encoding="utf-8"?>
<sst xmlns="http://schemas.openxmlformats.org/spreadsheetml/2006/main" uniqueCount="56">
  <si>
    <t>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</si>
  <si>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</si>
  <si>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</si>
  <si>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</si>
  <si>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</si>
  <si>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</si>
  <si>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</si>
  <si>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</si>
  <si>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</si>
  <si>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</si>
  <si>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</si>
  <si>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</si>
  <si>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</si>
  <si>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</si>
  <si>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</si>
  <si>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 xml:space="preserve">Beginning </t>
  </si>
  <si>
    <t xml:space="preserve">Change </t>
  </si>
  <si>
    <t xml:space="preserve">Ending </t>
  </si>
  <si>
    <t xml:space="preserve">Profit </t>
  </si>
  <si>
    <t>Non cash costs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</si>
  <si>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</si>
  <si>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</si>
  <si>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</si>
  <si>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</si>
  <si>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</si>
  <si>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</si>
  <si>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</si>
  <si>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</si>
  <si>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</si>
  <si>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</si>
  <si>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</si>
  <si>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</si>
  <si>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</si>
  <si>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</si>
  <si>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</si>
  <si>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</si>
  <si>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</si>
  <si>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</si>
  <si>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</si>
  <si>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</si>
  <si>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</si>
  <si>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Data</t>
  </si>
  <si>
    <t>Cash</t>
  </si>
  <si>
    <t xml:space="preserve">Assets </t>
  </si>
  <si>
    <t>Other assets</t>
  </si>
  <si>
    <t>Forecasts</t>
  </si>
  <si>
    <t xml:space="preserve">Non cash costs </t>
  </si>
  <si>
    <t>Cashflow costs</t>
  </si>
  <si>
    <t xml:space="preserve">Receipts </t>
  </si>
  <si>
    <t xml:space="preserve">Investment </t>
  </si>
  <si>
    <t>Interrst</t>
  </si>
  <si>
    <t>Finance</t>
  </si>
  <si>
    <t>Free cashflow</t>
  </si>
  <si>
    <t>Cashflow</t>
  </si>
  <si>
    <t>MASA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</si>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</sst>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612378</xdr:colOff>
      <xdr:row>0</xdr:row>
      <xdr:rowOff>346435</xdr:rowOff>
    </xdr:from>
    <xdr:to>
      <xdr:col>12</xdr:col>
      <xdr:colOff>425667</xdr:colOff>
      <xdr:row>46</xdr:row>
      <xdr:rowOff>234512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3378" y="346435"/>
          <a:ext cx="8525490" cy="11702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67969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4">
        <v>2</v>
      </c>
      <c r="C2" s="5"/>
      <c r="D2" s="5"/>
      <c r="E2" s="5"/>
    </row>
    <row r="3" ht="20.25" customHeight="1">
      <c r="A3" t="s" s="6">
        <v>3</v>
      </c>
      <c r="B3" s="7">
        <f>AVERAGE('Data'!N15:N18)</f>
        <v>0.01971440287751</v>
      </c>
      <c r="C3" s="8"/>
      <c r="D3" s="8"/>
      <c r="E3" s="9">
        <f>AVERAGE(B4:E4)</f>
        <v>0.045</v>
      </c>
    </row>
    <row r="4" ht="20.05" customHeight="1">
      <c r="A4" t="s" s="10">
        <v>4</v>
      </c>
      <c r="B4" s="11">
        <v>0.1</v>
      </c>
      <c r="C4" s="12">
        <v>-0.02</v>
      </c>
      <c r="D4" s="12">
        <v>0.05</v>
      </c>
      <c r="E4" s="12">
        <v>0.05</v>
      </c>
    </row>
    <row r="5" ht="20.05" customHeight="1">
      <c r="A5" t="s" s="10">
        <v>5</v>
      </c>
      <c r="B5" s="13">
        <f>'Data'!L18*(1+B4)</f>
        <v>100.87</v>
      </c>
      <c r="C5" s="14">
        <f>B5*(1+C4)</f>
        <v>98.8526</v>
      </c>
      <c r="D5" s="14">
        <f>C5*(1+D4)</f>
        <v>103.79523</v>
      </c>
      <c r="E5" s="14">
        <f>D5*(1+E4)</f>
        <v>108.9849915</v>
      </c>
    </row>
    <row r="6" ht="20.05" customHeight="1">
      <c r="A6" t="s" s="10">
        <v>6</v>
      </c>
      <c r="B6" s="15">
        <f>AVERAGE('Data'!R18)</f>
        <v>-0.836592349853529</v>
      </c>
      <c r="C6" s="16">
        <f>B6</f>
        <v>-0.836592349853529</v>
      </c>
      <c r="D6" s="16">
        <f>C6</f>
        <v>-0.836592349853529</v>
      </c>
      <c r="E6" s="16">
        <f>D6</f>
        <v>-0.836592349853529</v>
      </c>
    </row>
    <row r="7" ht="20.05" customHeight="1">
      <c r="A7" t="s" s="10">
        <v>7</v>
      </c>
      <c r="B7" s="13">
        <f>B5*B6</f>
        <v>-84.3870703297255</v>
      </c>
      <c r="C7" s="14">
        <f>C5*C6</f>
        <v>-82.69932892313101</v>
      </c>
      <c r="D7" s="14">
        <f>D5*D6</f>
        <v>-86.8342953692875</v>
      </c>
      <c r="E7" s="14">
        <f>E5*E6</f>
        <v>-91.1760101377519</v>
      </c>
    </row>
    <row r="8" ht="20.05" customHeight="1">
      <c r="A8" t="s" s="10">
        <v>8</v>
      </c>
      <c r="B8" s="13">
        <f>B5+B7</f>
        <v>16.4829296702745</v>
      </c>
      <c r="C8" s="14">
        <f>C5+C7</f>
        <v>16.153271076869</v>
      </c>
      <c r="D8" s="14">
        <f>D5+D7</f>
        <v>16.9609346307125</v>
      </c>
      <c r="E8" s="14">
        <f>E5+E7</f>
        <v>17.8089813622481</v>
      </c>
    </row>
    <row r="9" ht="20.05" customHeight="1">
      <c r="A9" t="s" s="10">
        <v>9</v>
      </c>
      <c r="B9" s="13">
        <f>AVERAGE('Data'!V17:V18)</f>
        <v>-2.35</v>
      </c>
      <c r="C9" s="14">
        <f>B9</f>
        <v>-2.35</v>
      </c>
      <c r="D9" s="14">
        <f>C9</f>
        <v>-2.35</v>
      </c>
      <c r="E9" s="14">
        <f>D9</f>
        <v>-2.35</v>
      </c>
    </row>
    <row r="10" ht="20.05" customHeight="1">
      <c r="A10" t="s" s="10">
        <v>10</v>
      </c>
      <c r="B10" s="13">
        <f>-'Data'!G18/20</f>
        <v>-10.6</v>
      </c>
      <c r="C10" s="14">
        <f>-B25/20</f>
        <v>-10.07</v>
      </c>
      <c r="D10" s="14">
        <f>-C25/20</f>
        <v>-9.5665</v>
      </c>
      <c r="E10" s="14">
        <f>-D25/20</f>
        <v>-9.088175</v>
      </c>
    </row>
    <row r="11" ht="20.05" customHeight="1">
      <c r="A11" t="s" s="10">
        <v>11</v>
      </c>
      <c r="B11" s="13">
        <f>IF(B20&gt;0,-B20*0.1,0)</f>
        <v>-0.95829296702745</v>
      </c>
      <c r="C11" s="14">
        <f>IF(C20&gt;0,-C20*0.1,0)</f>
        <v>-0.9253271076869</v>
      </c>
      <c r="D11" s="14">
        <f>IF(D20&gt;0,-D20*0.1,0)</f>
        <v>-1.00609346307125</v>
      </c>
      <c r="E11" s="14">
        <f>IF(E20&gt;0,-E20*0.1,0)</f>
        <v>-1.09089813622481</v>
      </c>
    </row>
    <row r="12" ht="20.05" customHeight="1">
      <c r="A12" t="s" s="10">
        <v>12</v>
      </c>
      <c r="B12" s="13">
        <f>B8+B9+B10+B11</f>
        <v>2.57463670324705</v>
      </c>
      <c r="C12" s="14">
        <f>C8+C9+C10+C11</f>
        <v>2.8079439691821</v>
      </c>
      <c r="D12" s="14">
        <f>D8+D9+D10+D11</f>
        <v>4.03834116764125</v>
      </c>
      <c r="E12" s="14">
        <f>E8+E9+E10+E11</f>
        <v>5.27990822602329</v>
      </c>
    </row>
    <row r="13" ht="20.05" customHeight="1">
      <c r="A13" t="s" s="10">
        <v>13</v>
      </c>
      <c r="B13" s="17">
        <f>-MIN(0,B12)</f>
        <v>0</v>
      </c>
      <c r="C13" s="18">
        <f>-MIN(B26,C12)</f>
        <v>0</v>
      </c>
      <c r="D13" s="18">
        <f>-MIN(C26,D12)</f>
        <v>0</v>
      </c>
      <c r="E13" s="18">
        <f>-MIN(D26,E12)</f>
        <v>0</v>
      </c>
    </row>
    <row r="14" ht="20.05" customHeight="1">
      <c r="A14" t="s" s="10">
        <v>14</v>
      </c>
      <c r="B14" s="13">
        <f>B10+B11+B13</f>
        <v>-11.5582929670275</v>
      </c>
      <c r="C14" s="14">
        <f>C10+C11+C13</f>
        <v>-10.9953271076869</v>
      </c>
      <c r="D14" s="14">
        <f>D10+D11+D13</f>
        <v>-10.5725934630713</v>
      </c>
      <c r="E14" s="14">
        <f>E10+E11+E13</f>
        <v>-10.1790731362248</v>
      </c>
    </row>
    <row r="15" ht="20.05" customHeight="1">
      <c r="A15" t="s" s="10">
        <v>15</v>
      </c>
      <c r="B15" s="13">
        <f>'Data'!C18</f>
        <v>2</v>
      </c>
      <c r="C15" s="14">
        <f>B17</f>
        <v>4.574636703247</v>
      </c>
      <c r="D15" s="14">
        <f>C17</f>
        <v>7.3825806724291</v>
      </c>
      <c r="E15" s="14">
        <f>D17</f>
        <v>11.4209218400703</v>
      </c>
    </row>
    <row r="16" ht="20.05" customHeight="1">
      <c r="A16" t="s" s="10">
        <v>16</v>
      </c>
      <c r="B16" s="13">
        <f>B8+B9+B14</f>
        <v>2.574636703247</v>
      </c>
      <c r="C16" s="14">
        <f>C8+C9+C14</f>
        <v>2.8079439691821</v>
      </c>
      <c r="D16" s="14">
        <f>D8+D9+D14</f>
        <v>4.0383411676412</v>
      </c>
      <c r="E16" s="14">
        <f>E8+E9+E14</f>
        <v>5.2799082260233</v>
      </c>
    </row>
    <row r="17" ht="20.05" customHeight="1">
      <c r="A17" t="s" s="10">
        <v>17</v>
      </c>
      <c r="B17" s="13">
        <f>B15+B16</f>
        <v>4.574636703247</v>
      </c>
      <c r="C17" s="14">
        <f>C15+C16</f>
        <v>7.3825806724291</v>
      </c>
      <c r="D17" s="14">
        <f>D15+D16</f>
        <v>11.4209218400703</v>
      </c>
      <c r="E17" s="14">
        <f>E15+E16</f>
        <v>16.7008300660936</v>
      </c>
    </row>
    <row r="18" ht="20.05" customHeight="1">
      <c r="A18" t="s" s="19">
        <v>18</v>
      </c>
      <c r="B18" s="17"/>
      <c r="C18" s="18"/>
      <c r="D18" s="18"/>
      <c r="E18" s="20"/>
    </row>
    <row r="19" ht="20.05" customHeight="1">
      <c r="A19" t="s" s="10">
        <v>19</v>
      </c>
      <c r="B19" s="13">
        <f>-'Data'!P18</f>
        <v>-6.9</v>
      </c>
      <c r="C19" s="14">
        <f>B19</f>
        <v>-6.9</v>
      </c>
      <c r="D19" s="14">
        <f>C19</f>
        <v>-6.9</v>
      </c>
      <c r="E19" s="14">
        <f>D19</f>
        <v>-6.9</v>
      </c>
    </row>
    <row r="20" ht="20.05" customHeight="1">
      <c r="A20" t="s" s="10">
        <v>18</v>
      </c>
      <c r="B20" s="13">
        <f>B5+B7+B19</f>
        <v>9.582929670274501</v>
      </c>
      <c r="C20" s="14">
        <f>C5+C7+C19</f>
        <v>9.253271076869</v>
      </c>
      <c r="D20" s="14">
        <f>D5+D7+D19</f>
        <v>10.0609346307125</v>
      </c>
      <c r="E20" s="14">
        <f>E5+E7+E19</f>
        <v>10.9089813622481</v>
      </c>
    </row>
    <row r="21" ht="20.05" customHeight="1">
      <c r="A21" t="s" s="19">
        <v>20</v>
      </c>
      <c r="B21" s="17"/>
      <c r="C21" s="18"/>
      <c r="D21" s="18"/>
      <c r="E21" s="18"/>
    </row>
    <row r="22" ht="20.05" customHeight="1">
      <c r="A22" t="s" s="10">
        <v>21</v>
      </c>
      <c r="B22" s="13">
        <f>'Data'!E18+'Data'!F18-B9</f>
        <v>911.35</v>
      </c>
      <c r="C22" s="14">
        <f>B22-C9</f>
        <v>913.7</v>
      </c>
      <c r="D22" s="14">
        <f>C22-D9</f>
        <v>916.05</v>
      </c>
      <c r="E22" s="14">
        <f>D22-E9</f>
        <v>918.4</v>
      </c>
    </row>
    <row r="23" ht="20.05" customHeight="1">
      <c r="A23" t="s" s="10">
        <v>22</v>
      </c>
      <c r="B23" s="13">
        <f>'Data'!F18-B19</f>
        <v>429.9</v>
      </c>
      <c r="C23" s="14">
        <f>B23-C19</f>
        <v>436.8</v>
      </c>
      <c r="D23" s="14">
        <f>C23-D19</f>
        <v>443.7</v>
      </c>
      <c r="E23" s="14">
        <f>D23-E19</f>
        <v>450.6</v>
      </c>
    </row>
    <row r="24" ht="20.05" customHeight="1">
      <c r="A24" t="s" s="10">
        <v>23</v>
      </c>
      <c r="B24" s="13">
        <f>B22-B23</f>
        <v>481.45</v>
      </c>
      <c r="C24" s="14">
        <f>C22-C23</f>
        <v>476.9</v>
      </c>
      <c r="D24" s="14">
        <f>D22-D23</f>
        <v>472.35</v>
      </c>
      <c r="E24" s="14">
        <f>E22-E23</f>
        <v>467.8</v>
      </c>
    </row>
    <row r="25" ht="20.05" customHeight="1">
      <c r="A25" t="s" s="10">
        <v>10</v>
      </c>
      <c r="B25" s="13">
        <f>'Data'!G18+B10</f>
        <v>201.4</v>
      </c>
      <c r="C25" s="14">
        <f>B25+C10</f>
        <v>191.33</v>
      </c>
      <c r="D25" s="14">
        <f>C25+D10</f>
        <v>181.7635</v>
      </c>
      <c r="E25" s="14">
        <f>D25+E10</f>
        <v>172.675325</v>
      </c>
    </row>
    <row r="26" ht="20.05" customHeight="1">
      <c r="A26" t="s" s="10">
        <v>13</v>
      </c>
      <c r="B26" s="17">
        <f>B13</f>
        <v>0</v>
      </c>
      <c r="C26" s="18">
        <f>B26+C13</f>
        <v>0</v>
      </c>
      <c r="D26" s="18">
        <f>C26+D13</f>
        <v>0</v>
      </c>
      <c r="E26" s="18">
        <f>D26+E13</f>
        <v>0</v>
      </c>
    </row>
    <row r="27" ht="20.05" customHeight="1">
      <c r="A27" t="s" s="10">
        <v>11</v>
      </c>
      <c r="B27" s="13">
        <f>'Data'!H18+B20+B11</f>
        <v>284.624636703247</v>
      </c>
      <c r="C27" s="14">
        <f>B27+C20+C11</f>
        <v>292.952580672429</v>
      </c>
      <c r="D27" s="14">
        <f>C27+D20+D11</f>
        <v>302.007421840070</v>
      </c>
      <c r="E27" s="14">
        <f>D27+E20+E11</f>
        <v>311.825505066093</v>
      </c>
    </row>
    <row r="28" ht="20.05" customHeight="1">
      <c r="A28" t="s" s="10">
        <v>24</v>
      </c>
      <c r="B28" s="13">
        <f>B25+B26+B27-B17-B24</f>
        <v>0</v>
      </c>
      <c r="C28" s="14">
        <f>C25+C26+C27-C17-C24</f>
        <v>-1e-13</v>
      </c>
      <c r="D28" s="14">
        <f>D25+D26+D27-D17-D24</f>
        <v>-3e-13</v>
      </c>
      <c r="E28" s="14">
        <f>E25+E26+E27-E17-E24</f>
        <v>-6e-13</v>
      </c>
    </row>
    <row r="29" ht="20.05" customHeight="1">
      <c r="A29" t="s" s="10">
        <v>25</v>
      </c>
      <c r="B29" s="13">
        <f>B17-B25-B26</f>
        <v>-196.825363296753</v>
      </c>
      <c r="C29" s="14">
        <f>C17-C25-C26</f>
        <v>-183.947419327571</v>
      </c>
      <c r="D29" s="14">
        <f>D17-D25-D26</f>
        <v>-170.342578159930</v>
      </c>
      <c r="E29" s="14">
        <f>E17-E25-E26</f>
        <v>-155.974494933906</v>
      </c>
    </row>
    <row r="30" ht="20.05" customHeight="1">
      <c r="A30" t="s" s="19">
        <v>26</v>
      </c>
      <c r="B30" s="17"/>
      <c r="C30" s="18"/>
      <c r="D30" s="18"/>
      <c r="E30" s="18"/>
    </row>
    <row r="31" ht="20.05" customHeight="1">
      <c r="A31" t="s" s="10">
        <v>27</v>
      </c>
      <c r="B31" s="17"/>
      <c r="C31" s="18"/>
      <c r="D31" s="18"/>
      <c r="E31" s="18">
        <v>14</v>
      </c>
    </row>
    <row r="32" ht="20.05" customHeight="1">
      <c r="A32" t="s" s="10">
        <v>28</v>
      </c>
      <c r="B32" s="17">
        <f>'Data'!AB18-B14</f>
        <v>100.816292967028</v>
      </c>
      <c r="C32" s="18">
        <f>B32-C14</f>
        <v>111.811620074715</v>
      </c>
      <c r="D32" s="18">
        <f>C32-D14</f>
        <v>122.384213537786</v>
      </c>
      <c r="E32" s="18">
        <f>D32-E14</f>
        <v>132.563286674011</v>
      </c>
    </row>
    <row r="33" ht="20.05" customHeight="1">
      <c r="A33" t="s" s="10">
        <v>29</v>
      </c>
      <c r="B33" s="17"/>
      <c r="C33" s="18"/>
      <c r="D33" s="18"/>
      <c r="E33" s="14">
        <f>45730/E31</f>
        <v>3266.428571428570</v>
      </c>
    </row>
    <row r="34" ht="20.05" customHeight="1">
      <c r="A34" t="s" s="10">
        <v>30</v>
      </c>
      <c r="B34" s="17"/>
      <c r="C34" s="18"/>
      <c r="D34" s="18"/>
      <c r="E34" s="21">
        <f>E33/(E17+E24)</f>
        <v>6.74184308617795</v>
      </c>
    </row>
    <row r="35" ht="20.05" customHeight="1">
      <c r="A35" t="s" s="10">
        <v>31</v>
      </c>
      <c r="B35" s="17"/>
      <c r="C35" s="18"/>
      <c r="D35" s="18"/>
      <c r="E35" s="16">
        <f>-(B11+C11+D11+E11)/E33</f>
        <v>0.00121864341649127</v>
      </c>
    </row>
    <row r="36" ht="20.05" customHeight="1">
      <c r="A36" t="s" s="10">
        <v>3</v>
      </c>
      <c r="B36" s="17"/>
      <c r="C36" s="18"/>
      <c r="D36" s="18"/>
      <c r="E36" s="14">
        <f>SUM(E8:E9)*4</f>
        <v>61.8359254489924</v>
      </c>
    </row>
    <row r="37" ht="20.05" customHeight="1">
      <c r="A37" t="s" s="10">
        <v>32</v>
      </c>
      <c r="B37" s="17"/>
      <c r="C37" s="18"/>
      <c r="D37" s="18"/>
      <c r="E37" s="14">
        <f>'Data'!E18/E36</f>
        <v>7.85950879640177</v>
      </c>
    </row>
    <row r="38" ht="20.05" customHeight="1">
      <c r="A38" t="s" s="10">
        <v>26</v>
      </c>
      <c r="B38" s="17"/>
      <c r="C38" s="18"/>
      <c r="D38" s="18"/>
      <c r="E38" s="14">
        <f>E33/E36</f>
        <v>52.8241236418949</v>
      </c>
    </row>
    <row r="39" ht="20.05" customHeight="1">
      <c r="A39" t="s" s="10">
        <v>33</v>
      </c>
      <c r="B39" s="17"/>
      <c r="C39" s="18"/>
      <c r="D39" s="18"/>
      <c r="E39" s="18">
        <v>32</v>
      </c>
    </row>
    <row r="40" ht="20.05" customHeight="1">
      <c r="A40" t="s" s="10">
        <v>34</v>
      </c>
      <c r="B40" s="17"/>
      <c r="C40" s="18"/>
      <c r="D40" s="18"/>
      <c r="E40" s="14">
        <f>E36*E39</f>
        <v>1978.749614367760</v>
      </c>
    </row>
    <row r="41" ht="20.05" customHeight="1">
      <c r="A41" t="s" s="10">
        <v>35</v>
      </c>
      <c r="B41" s="17"/>
      <c r="C41" s="18"/>
      <c r="D41" s="18"/>
      <c r="E41" s="14">
        <f>45730/E43</f>
        <v>9.182730923694781</v>
      </c>
    </row>
    <row r="42" ht="20.05" customHeight="1">
      <c r="A42" t="s" s="10">
        <v>36</v>
      </c>
      <c r="B42" s="17"/>
      <c r="C42" s="18"/>
      <c r="D42" s="18"/>
      <c r="E42" s="14">
        <f>(E40/E41)*E31</f>
        <v>3016.803479416580</v>
      </c>
    </row>
    <row r="43" ht="20.05" customHeight="1">
      <c r="A43" t="s" s="10">
        <v>37</v>
      </c>
      <c r="B43" s="17"/>
      <c r="C43" s="18"/>
      <c r="D43" s="18"/>
      <c r="E43" s="14">
        <f>'Data'!AC19</f>
        <v>4980</v>
      </c>
    </row>
    <row r="44" ht="20.05" customHeight="1">
      <c r="A44" t="s" s="10">
        <v>38</v>
      </c>
      <c r="B44" s="17"/>
      <c r="C44" s="18"/>
      <c r="D44" s="18"/>
      <c r="E44" s="16">
        <f>E42/E43-1</f>
        <v>-0.394216168791851</v>
      </c>
    </row>
    <row r="45" ht="20.05" customHeight="1">
      <c r="A45" t="s" s="10">
        <v>39</v>
      </c>
      <c r="B45" s="17"/>
      <c r="C45" s="18"/>
      <c r="D45" s="18"/>
      <c r="E45" s="16">
        <f>'Data'!L18/'Data'!L14-1</f>
        <v>0.0420454545454545</v>
      </c>
    </row>
    <row r="46" ht="20.05" customHeight="1">
      <c r="A46" t="s" s="10">
        <v>40</v>
      </c>
      <c r="B46" s="17"/>
      <c r="C46" s="18"/>
      <c r="D46" s="18"/>
      <c r="E46" s="16">
        <f>'Data'!M18/'Data'!L18-1</f>
        <v>-0.0197382769901854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AD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22" customWidth="1"/>
    <col min="2" max="2" width="9.48438" style="22" customWidth="1"/>
    <col min="3" max="30" width="9.29688" style="22" customWidth="1"/>
    <col min="31" max="16384" width="16.3516" style="22" customWidth="1"/>
  </cols>
  <sheetData>
    <row r="1" ht="42.6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32.25" customHeight="1">
      <c r="B3" t="s" s="4">
        <v>1</v>
      </c>
      <c r="C3" t="s" s="4">
        <v>42</v>
      </c>
      <c r="D3" t="s" s="4">
        <v>43</v>
      </c>
      <c r="E3" t="s" s="4">
        <v>44</v>
      </c>
      <c r="F3" t="s" s="4">
        <v>22</v>
      </c>
      <c r="G3" t="s" s="4">
        <v>10</v>
      </c>
      <c r="H3" t="s" s="4">
        <v>11</v>
      </c>
      <c r="I3" t="s" s="4">
        <v>24</v>
      </c>
      <c r="J3" t="s" s="4">
        <v>25</v>
      </c>
      <c r="K3" t="s" s="4">
        <v>33</v>
      </c>
      <c r="L3" t="s" s="4">
        <v>5</v>
      </c>
      <c r="M3" t="s" s="4">
        <v>45</v>
      </c>
      <c r="N3" t="s" s="4">
        <v>4</v>
      </c>
      <c r="O3" t="s" s="4">
        <v>18</v>
      </c>
      <c r="P3" t="s" s="4">
        <v>46</v>
      </c>
      <c r="Q3" t="s" s="4">
        <v>6</v>
      </c>
      <c r="R3" t="s" s="4">
        <v>47</v>
      </c>
      <c r="S3" t="s" s="4">
        <v>47</v>
      </c>
      <c r="T3" t="s" s="4">
        <v>48</v>
      </c>
      <c r="U3" t="s" s="4">
        <v>8</v>
      </c>
      <c r="V3" t="s" s="4">
        <v>49</v>
      </c>
      <c r="W3" t="s" s="4">
        <v>50</v>
      </c>
      <c r="X3" t="s" s="4">
        <v>10</v>
      </c>
      <c r="Y3" t="s" s="4">
        <v>51</v>
      </c>
      <c r="Z3" t="s" s="4">
        <v>52</v>
      </c>
      <c r="AA3" t="s" s="4">
        <v>53</v>
      </c>
      <c r="AB3" t="s" s="4">
        <v>28</v>
      </c>
      <c r="AC3" t="s" s="4">
        <v>54</v>
      </c>
      <c r="AD3" t="s" s="4">
        <v>55</v>
      </c>
    </row>
    <row r="4" ht="20.25" customHeight="1">
      <c r="B4" s="23">
        <v>2018</v>
      </c>
      <c r="C4" s="24">
        <v>17.3</v>
      </c>
      <c r="D4" s="25">
        <v>670.6</v>
      </c>
      <c r="E4" s="26">
        <f>D4-C4</f>
        <v>653.3</v>
      </c>
      <c r="F4" s="25"/>
      <c r="G4" s="25">
        <v>334.6</v>
      </c>
      <c r="H4" s="25">
        <v>335.9</v>
      </c>
      <c r="I4" s="26">
        <f>G4+H4-D4</f>
        <v>-0.1</v>
      </c>
      <c r="J4" s="26">
        <f>C4-G4</f>
        <v>-317.3</v>
      </c>
      <c r="K4" s="25"/>
      <c r="L4" s="25">
        <v>79</v>
      </c>
      <c r="M4" s="26"/>
      <c r="N4" s="27"/>
      <c r="O4" s="25">
        <v>0.026</v>
      </c>
      <c r="P4" s="25">
        <v>7.225</v>
      </c>
      <c r="Q4" s="27">
        <f>(O4+P4-L4)/L4</f>
        <v>-0.908215189873418</v>
      </c>
      <c r="R4" s="27"/>
      <c r="S4" s="27">
        <f>(U4-T4)/T4</f>
        <v>-0.951923076923077</v>
      </c>
      <c r="T4" s="25">
        <v>72.8</v>
      </c>
      <c r="U4" s="25">
        <v>3.5</v>
      </c>
      <c r="V4" s="25">
        <v>-7.1</v>
      </c>
      <c r="W4" s="25"/>
      <c r="X4" s="25"/>
      <c r="Y4" s="25">
        <v>8.800000000000001</v>
      </c>
      <c r="Z4" s="26">
        <f>SUM(U4:V4)</f>
        <v>-3.6</v>
      </c>
      <c r="AA4" s="26"/>
      <c r="AB4" s="26">
        <f>-(Y4)</f>
        <v>-8.800000000000001</v>
      </c>
      <c r="AC4" s="26">
        <v>312</v>
      </c>
      <c r="AD4" s="26"/>
    </row>
    <row r="5" ht="20.05" customHeight="1">
      <c r="B5" s="28"/>
      <c r="C5" s="17">
        <v>20.9</v>
      </c>
      <c r="D5" s="18">
        <v>666.6</v>
      </c>
      <c r="E5" s="14">
        <f>D5-C5</f>
        <v>645.7</v>
      </c>
      <c r="F5" s="18"/>
      <c r="G5" s="18">
        <v>332.7</v>
      </c>
      <c r="H5" s="18">
        <v>333.95</v>
      </c>
      <c r="I5" s="14">
        <f>G5+H5-D5</f>
        <v>0.05</v>
      </c>
      <c r="J5" s="14">
        <f>C5-G5</f>
        <v>-311.8</v>
      </c>
      <c r="K5" s="18"/>
      <c r="L5" s="18">
        <v>74.09999999999999</v>
      </c>
      <c r="M5" s="14"/>
      <c r="N5" s="16">
        <f>L5/L4-1</f>
        <v>-0.0620253164556962</v>
      </c>
      <c r="O5" s="18">
        <v>0.5</v>
      </c>
      <c r="P5" s="18">
        <v>7.225</v>
      </c>
      <c r="Q5" s="16">
        <f>(O5+P5-L5)/L5</f>
        <v>-0.8957489878542511</v>
      </c>
      <c r="R5" s="16"/>
      <c r="S5" s="16">
        <f>(U5-T5)/T5</f>
        <v>-0.9141742522756831</v>
      </c>
      <c r="T5" s="18">
        <v>76.90000000000001</v>
      </c>
      <c r="U5" s="18">
        <v>6.6</v>
      </c>
      <c r="V5" s="18">
        <v>-7.8</v>
      </c>
      <c r="W5" s="18"/>
      <c r="X5" s="18"/>
      <c r="Y5" s="18">
        <v>4.9</v>
      </c>
      <c r="Z5" s="14">
        <f>SUM(U5:V5)</f>
        <v>-1.2</v>
      </c>
      <c r="AA5" s="14">
        <f>AVERAGE(Z3:Z5)</f>
        <v>-2.4</v>
      </c>
      <c r="AB5" s="14">
        <f>-(Y5)+AB4</f>
        <v>-13.7</v>
      </c>
      <c r="AC5" s="14">
        <v>318</v>
      </c>
      <c r="AD5" s="14"/>
    </row>
    <row r="6" ht="20.05" customHeight="1">
      <c r="B6" s="28"/>
      <c r="C6" s="17">
        <v>12</v>
      </c>
      <c r="D6" s="18">
        <v>664.7</v>
      </c>
      <c r="E6" s="14">
        <f>D6-C6</f>
        <v>652.7</v>
      </c>
      <c r="F6" s="18"/>
      <c r="G6" s="18">
        <v>329.5</v>
      </c>
      <c r="H6" s="18">
        <v>335.2</v>
      </c>
      <c r="I6" s="14">
        <f>G6+H6-D6</f>
        <v>0</v>
      </c>
      <c r="J6" s="14">
        <f>C6-G6</f>
        <v>-317.5</v>
      </c>
      <c r="K6" s="18"/>
      <c r="L6" s="18">
        <v>88.3</v>
      </c>
      <c r="M6" s="14"/>
      <c r="N6" s="16">
        <f>L6/L5-1</f>
        <v>0.191632928475034</v>
      </c>
      <c r="O6" s="18">
        <v>0.6</v>
      </c>
      <c r="P6" s="18">
        <v>7.225</v>
      </c>
      <c r="Q6" s="16">
        <f>(O6+P6-L6)/L6</f>
        <v>-0.911381653454134</v>
      </c>
      <c r="R6" s="16"/>
      <c r="S6" s="16">
        <f>(U6-T6)/T6</f>
        <v>-1.00399467376831</v>
      </c>
      <c r="T6" s="18">
        <v>75.09999999999999</v>
      </c>
      <c r="U6" s="18">
        <v>-0.3</v>
      </c>
      <c r="V6" s="18">
        <v>-7.8</v>
      </c>
      <c r="W6" s="18"/>
      <c r="X6" s="18"/>
      <c r="Y6" s="18">
        <v>-0.6</v>
      </c>
      <c r="Z6" s="14">
        <f>SUM(U6:V6)</f>
        <v>-8.1</v>
      </c>
      <c r="AA6" s="14">
        <f>AVERAGE(Z3:Z6)</f>
        <v>-4.3</v>
      </c>
      <c r="AB6" s="14">
        <f>-(Y6)+AB5</f>
        <v>-13.1</v>
      </c>
      <c r="AC6" s="14">
        <v>590</v>
      </c>
      <c r="AD6" s="14"/>
    </row>
    <row r="7" ht="20.05" customHeight="1">
      <c r="B7" s="28"/>
      <c r="C7" s="17">
        <v>7.1</v>
      </c>
      <c r="D7" s="18">
        <v>643.4</v>
      </c>
      <c r="E7" s="14">
        <f>D7-C7</f>
        <v>636.3</v>
      </c>
      <c r="F7" s="18"/>
      <c r="G7" s="18">
        <v>325.5</v>
      </c>
      <c r="H7" s="18">
        <v>317.9</v>
      </c>
      <c r="I7" s="14">
        <f>G7+H7-D7</f>
        <v>0</v>
      </c>
      <c r="J7" s="14">
        <f>C7-G7</f>
        <v>-318.4</v>
      </c>
      <c r="K7" s="18"/>
      <c r="L7" s="18">
        <v>60.45</v>
      </c>
      <c r="M7" s="14"/>
      <c r="N7" s="16">
        <f>L7/L6-1</f>
        <v>-0.315402038505096</v>
      </c>
      <c r="O7" s="18">
        <v>-17.9</v>
      </c>
      <c r="P7" s="18">
        <v>7.225</v>
      </c>
      <c r="Q7" s="16">
        <f>(O7+P7-L7)/L7</f>
        <v>-1.17659222497932</v>
      </c>
      <c r="R7" s="16"/>
      <c r="S7" s="16">
        <f>(U7-T7)/T7</f>
        <v>-0.900826446280992</v>
      </c>
      <c r="T7" s="18">
        <v>72.59999999999999</v>
      </c>
      <c r="U7" s="18">
        <v>7.2</v>
      </c>
      <c r="V7" s="18">
        <v>9.9</v>
      </c>
      <c r="W7" s="18"/>
      <c r="X7" s="18"/>
      <c r="Y7" s="18">
        <v>-18.5</v>
      </c>
      <c r="Z7" s="14">
        <f>SUM(U7:V7)</f>
        <v>17.1</v>
      </c>
      <c r="AA7" s="14">
        <f>AVERAGE(Z4:Z7)</f>
        <v>1.05</v>
      </c>
      <c r="AB7" s="14">
        <f>-(Y7)+AB6</f>
        <v>5.4</v>
      </c>
      <c r="AC7" s="14">
        <v>760</v>
      </c>
      <c r="AD7" s="14"/>
    </row>
    <row r="8" ht="20.05" customHeight="1">
      <c r="B8" s="29">
        <v>2019</v>
      </c>
      <c r="C8" s="17">
        <v>35.5</v>
      </c>
      <c r="D8" s="18">
        <v>593.6</v>
      </c>
      <c r="E8" s="14">
        <f>D8-C8</f>
        <v>558.1</v>
      </c>
      <c r="F8" s="18"/>
      <c r="G8" s="18">
        <v>275.8</v>
      </c>
      <c r="H8" s="18">
        <v>317.8</v>
      </c>
      <c r="I8" s="14">
        <f>G8+H8-D8</f>
        <v>0</v>
      </c>
      <c r="J8" s="14">
        <f>C8-G8</f>
        <v>-240.3</v>
      </c>
      <c r="K8" s="18"/>
      <c r="L8" s="18">
        <v>87.5</v>
      </c>
      <c r="M8" s="14"/>
      <c r="N8" s="16">
        <f>L8/L7-1</f>
        <v>0.447477253928867</v>
      </c>
      <c r="O8" s="18">
        <v>-4</v>
      </c>
      <c r="P8" s="18">
        <v>6.55</v>
      </c>
      <c r="Q8" s="16">
        <f>(O8+P8-L8)/L8</f>
        <v>-0.970857142857143</v>
      </c>
      <c r="R8" s="16">
        <f>AVERAGE(S5:S8)</f>
        <v>-0.986579081808036</v>
      </c>
      <c r="S8" s="16">
        <f>(U8-T8)/T8</f>
        <v>-1.12732095490716</v>
      </c>
      <c r="T8" s="18">
        <v>75.40000000000001</v>
      </c>
      <c r="U8" s="18">
        <v>-9.6</v>
      </c>
      <c r="V8" s="18">
        <v>63.3</v>
      </c>
      <c r="W8" s="18"/>
      <c r="X8" s="18"/>
      <c r="Y8" s="18">
        <v>-25.6</v>
      </c>
      <c r="Z8" s="14">
        <f>SUM(U8:V8)</f>
        <v>53.7</v>
      </c>
      <c r="AA8" s="14">
        <f>AVERAGE(Z5:Z8)</f>
        <v>15.375</v>
      </c>
      <c r="AB8" s="14">
        <f>-(Y8)+AB7</f>
        <v>31</v>
      </c>
      <c r="AC8" s="14">
        <v>835</v>
      </c>
      <c r="AD8" s="14"/>
    </row>
    <row r="9" ht="20.05" customHeight="1">
      <c r="B9" s="28"/>
      <c r="C9" s="17">
        <v>8.1</v>
      </c>
      <c r="D9" s="18">
        <v>560.6</v>
      </c>
      <c r="E9" s="14">
        <f>D9-C9</f>
        <v>552.5</v>
      </c>
      <c r="F9" s="18"/>
      <c r="G9" s="18">
        <v>250.5</v>
      </c>
      <c r="H9" s="18">
        <v>310.1</v>
      </c>
      <c r="I9" s="14">
        <f>G9+H9-D9</f>
        <v>0</v>
      </c>
      <c r="J9" s="14">
        <f>C9-G9</f>
        <v>-242.4</v>
      </c>
      <c r="K9" s="18"/>
      <c r="L9" s="18">
        <v>75</v>
      </c>
      <c r="M9" s="14"/>
      <c r="N9" s="16">
        <f>L9/L8-1</f>
        <v>-0.142857142857143</v>
      </c>
      <c r="O9" s="18">
        <v>-11.1</v>
      </c>
      <c r="P9" s="18">
        <v>6.55</v>
      </c>
      <c r="Q9" s="16">
        <f>(O9+P9-L9)/L9</f>
        <v>-1.06066666666667</v>
      </c>
      <c r="R9" s="16">
        <f>AVERAGE(S6:S9)</f>
        <v>-1.04049053159259</v>
      </c>
      <c r="S9" s="16">
        <f>(U9-T9)/T9</f>
        <v>-1.12982005141388</v>
      </c>
      <c r="T9" s="18">
        <v>77.8</v>
      </c>
      <c r="U9" s="18">
        <v>-10.1</v>
      </c>
      <c r="V9" s="18">
        <v>-3.9</v>
      </c>
      <c r="W9" s="18"/>
      <c r="X9" s="18"/>
      <c r="Y9" s="18">
        <v>-13.7</v>
      </c>
      <c r="Z9" s="14">
        <f>SUM(U9:V9)</f>
        <v>-14</v>
      </c>
      <c r="AA9" s="14">
        <f>AVERAGE(Z6:Z9)</f>
        <v>12.175</v>
      </c>
      <c r="AB9" s="14">
        <f>-(Y9)+AB8</f>
        <v>44.7</v>
      </c>
      <c r="AC9" s="14">
        <v>620</v>
      </c>
      <c r="AD9" s="14"/>
    </row>
    <row r="10" ht="20.05" customHeight="1">
      <c r="B10" s="28"/>
      <c r="C10" s="17">
        <v>7.7</v>
      </c>
      <c r="D10" s="18">
        <v>556.4</v>
      </c>
      <c r="E10" s="14">
        <f>D10-C10</f>
        <v>548.7</v>
      </c>
      <c r="F10" s="18"/>
      <c r="G10" s="18">
        <v>248.8</v>
      </c>
      <c r="H10" s="18">
        <v>307.6</v>
      </c>
      <c r="I10" s="14">
        <f>G10+H10-D10</f>
        <v>0</v>
      </c>
      <c r="J10" s="14">
        <f>C10-G10</f>
        <v>-241.1</v>
      </c>
      <c r="K10" s="18"/>
      <c r="L10" s="18">
        <v>87.5</v>
      </c>
      <c r="M10" s="14"/>
      <c r="N10" s="16">
        <f>L10/L9-1</f>
        <v>0.166666666666667</v>
      </c>
      <c r="O10" s="18">
        <v>-13.5</v>
      </c>
      <c r="P10" s="18">
        <v>6.55</v>
      </c>
      <c r="Q10" s="16">
        <f>(O10+P10-L10)/L10</f>
        <v>-1.07942857142857</v>
      </c>
      <c r="R10" s="16">
        <f>AVERAGE(S7:S10)</f>
        <v>-1.06351783717648</v>
      </c>
      <c r="S10" s="16">
        <f>(U10-T10)/T10</f>
        <v>-1.0961038961039</v>
      </c>
      <c r="T10" s="18">
        <v>77</v>
      </c>
      <c r="U10" s="18">
        <v>-7.4</v>
      </c>
      <c r="V10" s="18">
        <v>-3.1</v>
      </c>
      <c r="W10" s="18"/>
      <c r="X10" s="18"/>
      <c r="Y10" s="18">
        <v>10.1</v>
      </c>
      <c r="Z10" s="14">
        <f>SUM(U10:V10)</f>
        <v>-10.5</v>
      </c>
      <c r="AA10" s="14">
        <f>AVERAGE(Z7:Z10)</f>
        <v>11.575</v>
      </c>
      <c r="AB10" s="14">
        <f>-(Y10)+AB9</f>
        <v>34.6</v>
      </c>
      <c r="AC10" s="14">
        <v>530</v>
      </c>
      <c r="AD10" s="14"/>
    </row>
    <row r="11" ht="20.05" customHeight="1">
      <c r="B11" s="28"/>
      <c r="C11" s="17">
        <v>4.4</v>
      </c>
      <c r="D11" s="18">
        <v>451.1</v>
      </c>
      <c r="E11" s="14">
        <f>D11-C11</f>
        <v>446.7</v>
      </c>
      <c r="F11" s="18"/>
      <c r="G11" s="18">
        <v>255.7</v>
      </c>
      <c r="H11" s="18">
        <v>195.4</v>
      </c>
      <c r="I11" s="14">
        <f>G11+H11-D11</f>
        <v>0</v>
      </c>
      <c r="J11" s="14">
        <f>C11-G11</f>
        <v>-251.3</v>
      </c>
      <c r="K11" s="18"/>
      <c r="L11" s="18">
        <v>68.3</v>
      </c>
      <c r="M11" s="14"/>
      <c r="N11" s="16">
        <f>L11/L10-1</f>
        <v>-0.219428571428571</v>
      </c>
      <c r="O11" s="18">
        <v>-11.2</v>
      </c>
      <c r="P11" s="18">
        <v>6.55</v>
      </c>
      <c r="Q11" s="16">
        <f>(O11+P11-L11)/L11</f>
        <v>-1.06808199121523</v>
      </c>
      <c r="R11" s="16">
        <f>AVERAGE(S8:S11)</f>
        <v>-1.09622679288856</v>
      </c>
      <c r="S11" s="16">
        <f>(U11-T11)/T11</f>
        <v>-1.03166226912929</v>
      </c>
      <c r="T11" s="18">
        <v>75.8</v>
      </c>
      <c r="U11" s="18">
        <v>-2.4</v>
      </c>
      <c r="V11" s="18">
        <v>7.8</v>
      </c>
      <c r="W11" s="18"/>
      <c r="X11" s="18"/>
      <c r="Y11" s="18">
        <v>3.9</v>
      </c>
      <c r="Z11" s="14">
        <f>SUM(U11:V11)</f>
        <v>5.4</v>
      </c>
      <c r="AA11" s="14">
        <f>AVERAGE(Z8:Z11)</f>
        <v>8.65</v>
      </c>
      <c r="AB11" s="14">
        <f>-(Y11)+AB10</f>
        <v>30.7</v>
      </c>
      <c r="AC11" s="14">
        <v>458</v>
      </c>
      <c r="AD11" s="14"/>
    </row>
    <row r="12" ht="20.05" customHeight="1">
      <c r="B12" s="29">
        <v>2020</v>
      </c>
      <c r="C12" s="17">
        <v>7.9</v>
      </c>
      <c r="D12" s="18">
        <v>428</v>
      </c>
      <c r="E12" s="14">
        <f>D12-C12</f>
        <v>420.1</v>
      </c>
      <c r="F12" s="18"/>
      <c r="G12" s="18">
        <v>231.5</v>
      </c>
      <c r="H12" s="18">
        <v>196.5</v>
      </c>
      <c r="I12" s="14">
        <f>G12+H12-D12</f>
        <v>0</v>
      </c>
      <c r="J12" s="14">
        <f>C12-G12</f>
        <v>-223.6</v>
      </c>
      <c r="K12" s="18"/>
      <c r="L12" s="18">
        <v>59.8</v>
      </c>
      <c r="M12" s="14"/>
      <c r="N12" s="16">
        <f>L12/L11-1</f>
        <v>-0.124450951683748</v>
      </c>
      <c r="O12" s="18">
        <v>1.38</v>
      </c>
      <c r="P12" s="18">
        <v>7.05</v>
      </c>
      <c r="Q12" s="16">
        <f>(O12+P12-L12)/L12</f>
        <v>-0.859030100334448</v>
      </c>
      <c r="R12" s="16">
        <f>AVERAGE(S9:S12)</f>
        <v>-1.05852884434669</v>
      </c>
      <c r="S12" s="16">
        <f>(U12-T12)/T12</f>
        <v>-0.976529160739687</v>
      </c>
      <c r="T12" s="18">
        <v>70.3</v>
      </c>
      <c r="U12" s="18">
        <v>1.65</v>
      </c>
      <c r="V12" s="18">
        <v>-0.4</v>
      </c>
      <c r="W12" s="18"/>
      <c r="X12" s="18"/>
      <c r="Y12" s="18">
        <v>2.5</v>
      </c>
      <c r="Z12" s="14">
        <f>SUM(U12:V12)</f>
        <v>1.25</v>
      </c>
      <c r="AA12" s="14">
        <f>AVERAGE(Z9:Z12)</f>
        <v>-4.4625</v>
      </c>
      <c r="AB12" s="14">
        <f>-(Y12)+AB11</f>
        <v>28.2</v>
      </c>
      <c r="AC12" s="14">
        <v>392</v>
      </c>
      <c r="AD12" s="14"/>
    </row>
    <row r="13" ht="20.05" customHeight="1">
      <c r="B13" s="28"/>
      <c r="C13" s="17">
        <v>9.300000000000001</v>
      </c>
      <c r="D13" s="18">
        <v>422.7</v>
      </c>
      <c r="E13" s="14">
        <f>D13-C13</f>
        <v>413.4</v>
      </c>
      <c r="F13" s="18"/>
      <c r="G13" s="18">
        <v>229.7</v>
      </c>
      <c r="H13" s="18">
        <v>192.9</v>
      </c>
      <c r="I13" s="14">
        <f>G13+H13-D13</f>
        <v>-0.1</v>
      </c>
      <c r="J13" s="14">
        <f>C13-G13</f>
        <v>-220.4</v>
      </c>
      <c r="K13" s="18"/>
      <c r="L13" s="18">
        <v>48.4</v>
      </c>
      <c r="M13" s="14"/>
      <c r="N13" s="16">
        <f>L13/L12-1</f>
        <v>-0.190635451505017</v>
      </c>
      <c r="O13" s="18">
        <v>-2.4</v>
      </c>
      <c r="P13" s="18">
        <v>7.05</v>
      </c>
      <c r="Q13" s="16">
        <f>(O13+P13-L13)/L13</f>
        <v>-0.903925619834711</v>
      </c>
      <c r="R13" s="16">
        <f>AVERAGE(S10:S13)</f>
        <v>-0.927875237468615</v>
      </c>
      <c r="S13" s="16">
        <f>(U13-T13)/T13</f>
        <v>-0.6072056239015819</v>
      </c>
      <c r="T13" s="18">
        <v>56.9</v>
      </c>
      <c r="U13" s="18">
        <v>22.35</v>
      </c>
      <c r="V13" s="18">
        <v>-2.7</v>
      </c>
      <c r="W13" s="18"/>
      <c r="X13" s="18"/>
      <c r="Y13" s="18">
        <v>-16</v>
      </c>
      <c r="Z13" s="14">
        <f>SUM(U13:V13)</f>
        <v>19.65</v>
      </c>
      <c r="AA13" s="14">
        <f>AVERAGE(Z10:Z13)</f>
        <v>3.95</v>
      </c>
      <c r="AB13" s="14">
        <f>-(Y13)+AB12</f>
        <v>44.2</v>
      </c>
      <c r="AC13" s="14">
        <v>585</v>
      </c>
      <c r="AD13" s="14"/>
    </row>
    <row r="14" ht="20.05" customHeight="1">
      <c r="B14" s="28"/>
      <c r="C14" s="17">
        <v>3.2</v>
      </c>
      <c r="D14" s="18">
        <v>432.6</v>
      </c>
      <c r="E14" s="14">
        <f>D14-C14</f>
        <v>429.4</v>
      </c>
      <c r="F14" s="18"/>
      <c r="G14" s="18">
        <v>224.3</v>
      </c>
      <c r="H14" s="18">
        <v>208.3</v>
      </c>
      <c r="I14" s="14">
        <f>G14+H14-D14</f>
        <v>0</v>
      </c>
      <c r="J14" s="14">
        <f>C14-G14</f>
        <v>-221.1</v>
      </c>
      <c r="K14" s="18"/>
      <c r="L14" s="18">
        <v>88</v>
      </c>
      <c r="M14" s="14"/>
      <c r="N14" s="16">
        <f>L14/L13-1</f>
        <v>0.818181818181818</v>
      </c>
      <c r="O14" s="18">
        <v>13.1</v>
      </c>
      <c r="P14" s="18">
        <v>7.05</v>
      </c>
      <c r="Q14" s="16">
        <f>(O14+P14-L14)/L14</f>
        <v>-0.771022727272727</v>
      </c>
      <c r="R14" s="16">
        <f>AVERAGE(S11:S14)</f>
        <v>-0.87165229374567</v>
      </c>
      <c r="S14" s="16">
        <f>(U14-T14)/T14</f>
        <v>-0.871212121212121</v>
      </c>
      <c r="T14" s="18">
        <v>66</v>
      </c>
      <c r="U14" s="18">
        <v>8.5</v>
      </c>
      <c r="V14" s="18">
        <v>-5</v>
      </c>
      <c r="W14" s="18"/>
      <c r="X14" s="18"/>
      <c r="Y14" s="18">
        <v>-12.1</v>
      </c>
      <c r="Z14" s="14">
        <f>SUM(U14:V14)</f>
        <v>3.5</v>
      </c>
      <c r="AA14" s="14">
        <f>AVERAGE(Z11:Z14)</f>
        <v>7.45</v>
      </c>
      <c r="AB14" s="14">
        <f>-(Y14)+AB13</f>
        <v>56.3</v>
      </c>
      <c r="AC14" s="14">
        <v>645</v>
      </c>
      <c r="AD14" s="14"/>
    </row>
    <row r="15" ht="20.05" customHeight="1">
      <c r="B15" s="28"/>
      <c r="C15" s="17">
        <v>1.7</v>
      </c>
      <c r="D15" s="18">
        <v>447.2</v>
      </c>
      <c r="E15" s="14">
        <f>D15-C15</f>
        <v>445.5</v>
      </c>
      <c r="F15" s="18"/>
      <c r="G15" s="18">
        <v>219.9</v>
      </c>
      <c r="H15" s="18">
        <v>227.3</v>
      </c>
      <c r="I15" s="14">
        <f>G15+H15-D15</f>
        <v>0</v>
      </c>
      <c r="J15" s="14">
        <f>C15-G15</f>
        <v>-218.2</v>
      </c>
      <c r="K15" s="18"/>
      <c r="L15" s="18">
        <v>93.40000000000001</v>
      </c>
      <c r="M15" s="14"/>
      <c r="N15" s="16">
        <f>L15/L14-1</f>
        <v>0.0613636363636364</v>
      </c>
      <c r="O15" s="18">
        <v>33.2</v>
      </c>
      <c r="P15" s="18">
        <v>7.05</v>
      </c>
      <c r="Q15" s="16">
        <f>(O15+P15-L15)/L15</f>
        <v>-0.569057815845824</v>
      </c>
      <c r="R15" s="16">
        <f>AVERAGE(S12:S15)</f>
        <v>-0.784907897634519</v>
      </c>
      <c r="S15" s="16">
        <f>(U15-T15)/T15</f>
        <v>-0.684684684684685</v>
      </c>
      <c r="T15" s="18">
        <v>77.7</v>
      </c>
      <c r="U15" s="18">
        <v>24.5</v>
      </c>
      <c r="V15" s="18">
        <v>-10.2</v>
      </c>
      <c r="W15" s="18"/>
      <c r="X15" s="18"/>
      <c r="Y15" s="18">
        <v>-11.6</v>
      </c>
      <c r="Z15" s="14">
        <f>SUM(U15:V15)</f>
        <v>14.3</v>
      </c>
      <c r="AA15" s="14">
        <f>AVERAGE(Z12:Z15)</f>
        <v>9.675000000000001</v>
      </c>
      <c r="AB15" s="14">
        <f>-(Y15)+AB14</f>
        <v>67.90000000000001</v>
      </c>
      <c r="AC15" s="14">
        <v>1025</v>
      </c>
      <c r="AD15" s="14"/>
    </row>
    <row r="16" ht="20.05" customHeight="1">
      <c r="B16" s="29">
        <v>2021</v>
      </c>
      <c r="C16" s="17">
        <v>2.2</v>
      </c>
      <c r="D16" s="18">
        <v>473.8</v>
      </c>
      <c r="E16" s="14">
        <f>D16-C16</f>
        <v>471.6</v>
      </c>
      <c r="F16" s="18"/>
      <c r="G16" s="18">
        <v>221.8</v>
      </c>
      <c r="H16" s="18">
        <v>251.952</v>
      </c>
      <c r="I16" s="14">
        <f>G16+H16-D16</f>
        <v>-0.048</v>
      </c>
      <c r="J16" s="14">
        <f>C16-G16</f>
        <v>-219.6</v>
      </c>
      <c r="K16" s="18"/>
      <c r="L16" s="18">
        <v>110.1</v>
      </c>
      <c r="M16" s="14"/>
      <c r="N16" s="16">
        <f>L16/L15-1</f>
        <v>0.178800856531049</v>
      </c>
      <c r="O16" s="18">
        <v>24.7</v>
      </c>
      <c r="P16" s="18">
        <v>7.1</v>
      </c>
      <c r="Q16" s="16">
        <f>(O16+P16-L16)/L16</f>
        <v>-0.711171662125341</v>
      </c>
      <c r="R16" s="16">
        <f>AVERAGE(S13:S16)</f>
        <v>-0.767954506532166</v>
      </c>
      <c r="S16" s="16">
        <f>(U16-T16)/T16</f>
        <v>-0.908715596330275</v>
      </c>
      <c r="T16" s="18">
        <v>87.2</v>
      </c>
      <c r="U16" s="18">
        <v>7.96</v>
      </c>
      <c r="V16" s="18">
        <v>-1.1</v>
      </c>
      <c r="W16" s="18">
        <v>-0.4</v>
      </c>
      <c r="X16" s="18">
        <f>-6.37-W16</f>
        <v>-5.97</v>
      </c>
      <c r="Y16" s="18">
        <v>-6.07</v>
      </c>
      <c r="Z16" s="14">
        <f>SUM(U16:V16)</f>
        <v>6.86</v>
      </c>
      <c r="AA16" s="14">
        <f>AVERAGE(Z13:Z16)</f>
        <v>11.0775</v>
      </c>
      <c r="AB16" s="14">
        <f>-X16+AB15</f>
        <v>73.87</v>
      </c>
      <c r="AC16" s="14">
        <v>1360</v>
      </c>
      <c r="AD16" s="14"/>
    </row>
    <row r="17" ht="20.05" customHeight="1">
      <c r="B17" s="28"/>
      <c r="C17" s="17">
        <v>2.76</v>
      </c>
      <c r="D17" s="18">
        <v>478.7</v>
      </c>
      <c r="E17" s="14">
        <f>D17-C17</f>
        <v>475.94</v>
      </c>
      <c r="F17" s="18">
        <v>442.5</v>
      </c>
      <c r="G17" s="18">
        <v>211.2</v>
      </c>
      <c r="H17" s="18">
        <v>267.4</v>
      </c>
      <c r="I17" s="14">
        <f>G17+H17-D17</f>
        <v>-0.1</v>
      </c>
      <c r="J17" s="14">
        <f>C17-G17</f>
        <v>-208.44</v>
      </c>
      <c r="K17" s="18"/>
      <c r="L17" s="18">
        <v>89</v>
      </c>
      <c r="M17" s="14"/>
      <c r="N17" s="16">
        <f>L17/L16-1</f>
        <v>-0.191643960036331</v>
      </c>
      <c r="O17" s="18">
        <v>39.3</v>
      </c>
      <c r="P17" s="18">
        <v>7.1</v>
      </c>
      <c r="Q17" s="16">
        <f>(O17+P17-L17)/L17</f>
        <v>-0.478651685393258</v>
      </c>
      <c r="R17" s="16">
        <f>AVERAGE(S14:S17)</f>
        <v>-0.8470855154514489</v>
      </c>
      <c r="S17" s="16">
        <f>(U17-T17)/T17</f>
        <v>-0.923729659578716</v>
      </c>
      <c r="T17" s="18">
        <v>100.17</v>
      </c>
      <c r="U17" s="18">
        <v>7.64</v>
      </c>
      <c r="V17" s="18">
        <v>-0.6</v>
      </c>
      <c r="W17" s="18">
        <f>-1.134-W16</f>
        <v>-0.734</v>
      </c>
      <c r="X17" s="18">
        <f>-12.882-W17-W16-X16</f>
        <v>-5.778</v>
      </c>
      <c r="Y17" s="18">
        <v>-5.68</v>
      </c>
      <c r="Z17" s="14">
        <f>SUM(U17:V17)</f>
        <v>7.04</v>
      </c>
      <c r="AA17" s="14">
        <f>AVERAGE(Z14:Z17)</f>
        <v>7.925</v>
      </c>
      <c r="AB17" s="14">
        <f>-X17+AB16</f>
        <v>79.648</v>
      </c>
      <c r="AC17" s="14">
        <v>1600</v>
      </c>
      <c r="AD17" s="14"/>
    </row>
    <row r="18" ht="20.05" customHeight="1">
      <c r="B18" s="28"/>
      <c r="C18" s="17">
        <v>2</v>
      </c>
      <c r="D18" s="18">
        <v>488</v>
      </c>
      <c r="E18" s="14">
        <f>D18-C18</f>
        <v>486</v>
      </c>
      <c r="F18" s="18">
        <f>4+419</f>
        <v>423</v>
      </c>
      <c r="G18" s="18">
        <v>212</v>
      </c>
      <c r="H18" s="18">
        <v>276</v>
      </c>
      <c r="I18" s="14">
        <f>G18+H18-D18</f>
        <v>0</v>
      </c>
      <c r="J18" s="14">
        <f>C18-G18</f>
        <v>-210</v>
      </c>
      <c r="K18" s="18">
        <f>J18</f>
        <v>-210</v>
      </c>
      <c r="L18" s="18">
        <f>290.8-SUM(L16:L17)</f>
        <v>91.7</v>
      </c>
      <c r="M18" s="14">
        <v>89.89</v>
      </c>
      <c r="N18" s="16">
        <f>L18/L17-1</f>
        <v>0.0303370786516854</v>
      </c>
      <c r="O18" s="18">
        <f>46.7-SUM(O16:O17)</f>
        <v>-17.3</v>
      </c>
      <c r="P18" s="18">
        <f>21.1-SUM(P16:P17)</f>
        <v>6.9</v>
      </c>
      <c r="Q18" s="16">
        <f>(O18+P18-L18)/L18</f>
        <v>-1.113413304253</v>
      </c>
      <c r="R18" s="16">
        <f>AVERAGE(S15:S18)</f>
        <v>-0.836592349853529</v>
      </c>
      <c r="S18" s="16">
        <f>(U18-T18)/T18</f>
        <v>-0.829239458820439</v>
      </c>
      <c r="T18" s="18">
        <f>263.5-SUM(T16:T17)</f>
        <v>76.13</v>
      </c>
      <c r="U18" s="18">
        <f>28.6-SUM(U16:U17)</f>
        <v>13</v>
      </c>
      <c r="V18" s="18">
        <f>-5.8-SUM(V16:V17)</f>
        <v>-4.1</v>
      </c>
      <c r="W18" s="18">
        <f>-0.959-W17-W16</f>
        <v>0.175</v>
      </c>
      <c r="X18" s="18">
        <f>-22.317-W18-W17-W16-X17-X16</f>
        <v>-9.609999999999999</v>
      </c>
      <c r="Y18" s="18">
        <f>-22.3-SUM(Y16:Y17)</f>
        <v>-10.55</v>
      </c>
      <c r="Z18" s="14">
        <f>SUM(U18:V18)</f>
        <v>8.9</v>
      </c>
      <c r="AA18" s="14">
        <f>AVERAGE(Z15:Z18)</f>
        <v>9.275</v>
      </c>
      <c r="AB18" s="14">
        <f>-X18+AB17</f>
        <v>89.258</v>
      </c>
      <c r="AC18" s="14">
        <v>6475</v>
      </c>
      <c r="AD18" s="14"/>
    </row>
    <row r="19" ht="20.05" customHeight="1">
      <c r="B19" s="28"/>
      <c r="C19" s="17"/>
      <c r="D19" s="18"/>
      <c r="E19" s="18"/>
      <c r="F19" s="18"/>
      <c r="G19" s="18"/>
      <c r="H19" s="18"/>
      <c r="I19" s="18"/>
      <c r="J19" s="18"/>
      <c r="K19" s="18">
        <f>'Model'!E29</f>
        <v>-155.974494933906</v>
      </c>
      <c r="L19" s="18"/>
      <c r="M19" s="14">
        <f>'Model'!B5</f>
        <v>100.87</v>
      </c>
      <c r="N19" s="12"/>
      <c r="O19" s="18"/>
      <c r="P19" s="18"/>
      <c r="Q19" s="12">
        <f>'Model'!B6</f>
        <v>-0.836592349853529</v>
      </c>
      <c r="R19" s="14"/>
      <c r="S19" s="14"/>
      <c r="T19" s="18"/>
      <c r="U19" s="18"/>
      <c r="V19" s="18"/>
      <c r="W19" s="18"/>
      <c r="X19" s="18"/>
      <c r="Y19" s="18"/>
      <c r="Z19" s="14"/>
      <c r="AA19" s="14">
        <f>'Model'!E8+'Model'!E9</f>
        <v>15.4589813622481</v>
      </c>
      <c r="AB19" s="14">
        <f>'Model'!E32</f>
        <v>132.563286674011</v>
      </c>
      <c r="AC19" s="14">
        <v>4980</v>
      </c>
      <c r="AD19" s="14">
        <f>AC19</f>
        <v>4980</v>
      </c>
    </row>
    <row r="20" ht="20.05" customHeight="1">
      <c r="B20" s="29">
        <v>2022</v>
      </c>
      <c r="C20" s="17"/>
      <c r="D20" s="18"/>
      <c r="E20" s="14"/>
      <c r="F20" s="18"/>
      <c r="G20" s="18"/>
      <c r="H20" s="18"/>
      <c r="I20" s="14"/>
      <c r="J20" s="14"/>
      <c r="K20" s="18"/>
      <c r="L20" s="18"/>
      <c r="M20" s="14">
        <f>'Model'!C5</f>
        <v>98.8526</v>
      </c>
      <c r="N20" s="16"/>
      <c r="O20" s="18"/>
      <c r="P20" s="18"/>
      <c r="Q20" s="12"/>
      <c r="R20" s="14"/>
      <c r="S20" s="14"/>
      <c r="T20" s="18"/>
      <c r="U20" s="18"/>
      <c r="V20" s="18"/>
      <c r="W20" s="18"/>
      <c r="X20" s="18"/>
      <c r="Y20" s="18"/>
      <c r="Z20" s="14"/>
      <c r="AA20" s="14"/>
      <c r="AB20" s="14"/>
      <c r="AC20" s="14"/>
      <c r="AD20" s="14">
        <f>'Model'!E42</f>
        <v>3016.803479416580</v>
      </c>
    </row>
    <row r="21" ht="20.05" customHeight="1">
      <c r="B21" s="28"/>
      <c r="C21" s="17"/>
      <c r="D21" s="18"/>
      <c r="E21" s="14"/>
      <c r="F21" s="18"/>
      <c r="G21" s="18"/>
      <c r="H21" s="18"/>
      <c r="I21" s="14"/>
      <c r="J21" s="14"/>
      <c r="K21" s="18"/>
      <c r="L21" s="18"/>
      <c r="M21" s="14">
        <f>'Model'!D5</f>
        <v>103.79523</v>
      </c>
      <c r="N21" s="16"/>
      <c r="O21" s="18"/>
      <c r="P21" s="18"/>
      <c r="Q21" s="14"/>
      <c r="R21" s="14"/>
      <c r="S21" s="14"/>
      <c r="T21" s="18"/>
      <c r="U21" s="18"/>
      <c r="V21" s="18"/>
      <c r="W21" s="18"/>
      <c r="X21" s="18"/>
      <c r="Y21" s="18"/>
      <c r="Z21" s="14"/>
      <c r="AA21" s="14"/>
      <c r="AB21" s="14"/>
      <c r="AC21" s="14"/>
      <c r="AD21" s="14"/>
    </row>
    <row r="22" ht="20.05" customHeight="1">
      <c r="B22" s="28"/>
      <c r="C22" s="17"/>
      <c r="D22" s="18"/>
      <c r="E22" s="14"/>
      <c r="F22" s="14"/>
      <c r="G22" s="14"/>
      <c r="H22" s="14"/>
      <c r="I22" s="14"/>
      <c r="J22" s="14"/>
      <c r="K22" s="18"/>
      <c r="L22" s="18"/>
      <c r="M22" s="14">
        <f>'Model'!E5</f>
        <v>108.9849915</v>
      </c>
      <c r="N22" s="16"/>
      <c r="O22" s="18"/>
      <c r="P22" s="18"/>
      <c r="Q22" s="14"/>
      <c r="R22" s="14"/>
      <c r="S22" s="14"/>
      <c r="T22" s="18"/>
      <c r="U22" s="18"/>
      <c r="V22" s="18"/>
      <c r="W22" s="18"/>
      <c r="X22" s="18"/>
      <c r="Y22" s="18"/>
      <c r="Z22" s="14"/>
      <c r="AA22" s="14"/>
      <c r="AB22" s="14"/>
      <c r="AC22" s="14"/>
      <c r="AD22" s="14"/>
    </row>
    <row r="23" ht="20.05" customHeight="1">
      <c r="B23" s="28"/>
      <c r="C23" s="17"/>
      <c r="D23" s="18"/>
      <c r="E23" s="14"/>
      <c r="F23" s="14"/>
      <c r="G23" s="14"/>
      <c r="H23" s="14"/>
      <c r="I23" s="14"/>
      <c r="J23" s="14"/>
      <c r="K23" s="18"/>
      <c r="L23" s="18"/>
      <c r="M23" s="18"/>
      <c r="N23" s="14"/>
      <c r="O23" s="18"/>
      <c r="P23" s="18"/>
      <c r="Q23" s="14"/>
      <c r="R23" s="14"/>
      <c r="S23" s="14"/>
      <c r="T23" s="18"/>
      <c r="U23" s="18"/>
      <c r="V23" s="18"/>
      <c r="W23" s="18"/>
      <c r="X23" s="18"/>
      <c r="Y23" s="18"/>
      <c r="Z23" s="14"/>
      <c r="AA23" s="14"/>
      <c r="AB23" s="14"/>
      <c r="AC23" s="14"/>
      <c r="AD23" s="14"/>
    </row>
  </sheetData>
  <mergeCells count="1">
    <mergeCell ref="B2:A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