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s 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<sst xmlns="http://schemas.openxmlformats.org/spreadsheetml/2006/main" uniqueCount="57">
  <si>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</si>
  <si>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</si>
  <si>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</si>
  <si>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</si>
  <si>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</si>
  <si>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</si>
  <si>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</si>
  <si>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</si>
  <si>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</si>
  <si>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</si>
  <si>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</si>
  <si>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</si>
  <si>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</si>
  <si>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</si>
  <si>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</si>
  <si>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</si>
  <si>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</si>
  <si>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</si>
  <si>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</si>
  <si>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</si>
  <si>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</si>
  <si>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</si>
  <si>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</si>
  <si>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</si>
  <si>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</si>
  <si>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</si>
  <si>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</si>
  <si>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</si>
  <si>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</si>
  <si>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</si>
  <si>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</si>
  <si>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</si>
  <si>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</si>
  <si>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</si>
  <si>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</si>
  <si>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</si>
  <si>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</si>
  <si>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</si>
  <si>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</si>
  <si>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</si>
  <si>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</si>
  <si>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</si>
  <si>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</si>
  <si>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Net profit</t>
  </si>
  <si>
    <t xml:space="preserve">Sales growth </t>
  </si>
  <si>
    <t xml:space="preserve">Cost ratio </t>
  </si>
  <si>
    <t xml:space="preserve">Receipts </t>
  </si>
  <si>
    <t xml:space="preserve">Operating </t>
  </si>
  <si>
    <t xml:space="preserve">Investment </t>
  </si>
  <si>
    <t>Lease &amp; consumer</t>
  </si>
  <si>
    <t>Interest</t>
  </si>
  <si>
    <t xml:space="preserve">Free cashflow </t>
  </si>
  <si>
    <t xml:space="preserve">Cash </t>
  </si>
  <si>
    <t>Assets</t>
  </si>
  <si>
    <t>Share price</t>
  </si>
  <si>
    <t>MARK</t>
  </si>
  <si>
    <t xml:space="preserve">Previous 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</si>
</sst>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%"/>
    <numFmt numFmtId="60" formatCode="0%_);[Red]\(0%\)"/>
    <numFmt numFmtId="61" formatCode="0_);[Red]\(0\)"/>
    <numFmt numFmtId="62" formatCode="#,##0.0"/>
    <numFmt numFmtId="63" formatCode="#,##0%_);[Red]\(#,##0%\)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1" fontId="3" borderId="4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1" fontId="3" borderId="7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480361</xdr:colOff>
      <xdr:row>1</xdr:row>
      <xdr:rowOff>157409</xdr:rowOff>
    </xdr:from>
    <xdr:to>
      <xdr:col>13</xdr:col>
      <xdr:colOff>1227249</xdr:colOff>
      <xdr:row>48</xdr:row>
      <xdr:rowOff>235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14261" y="631754"/>
          <a:ext cx="9459089" cy="119370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5781" style="1" customWidth="1"/>
    <col min="2" max="2" width="14.7656" style="1" customWidth="1"/>
    <col min="3" max="6" width="9.3125" style="1" customWidth="1"/>
    <col min="7" max="16384" width="16.3516" style="1" customWidth="1"/>
  </cols>
  <sheetData>
    <row r="1" ht="37.3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t="s" s="5">
        <v>2</v>
      </c>
      <c r="F3" s="4"/>
    </row>
    <row r="4" ht="20.3" customHeight="1">
      <c r="B4" t="s" s="6">
        <v>3</v>
      </c>
      <c r="C4" s="7">
        <f>AVERAGE('Sales'!G25:G28)</f>
        <v>0.146948491172803</v>
      </c>
      <c r="D4" s="8"/>
      <c r="E4" s="8"/>
      <c r="F4" s="9">
        <f>AVERAGE(C5:F5)</f>
        <v>0.01</v>
      </c>
    </row>
    <row r="5" ht="20.1" customHeight="1">
      <c r="B5" t="s" s="10">
        <v>4</v>
      </c>
      <c r="C5" s="11">
        <v>-0.05</v>
      </c>
      <c r="D5" s="12">
        <v>0.07000000000000001</v>
      </c>
      <c r="E5" s="12">
        <v>0.03</v>
      </c>
      <c r="F5" s="13">
        <v>-0.01</v>
      </c>
    </row>
    <row r="6" ht="20.1" customHeight="1">
      <c r="B6" t="s" s="10">
        <v>5</v>
      </c>
      <c r="C6" s="14">
        <f>'Sales'!C28*(1+C5)</f>
        <v>343.14</v>
      </c>
      <c r="D6" s="15">
        <f>C6*(1+D5)</f>
        <v>367.1598</v>
      </c>
      <c r="E6" s="15">
        <f>D6*(1+E5)</f>
        <v>378.174594</v>
      </c>
      <c r="F6" s="15">
        <f>E6*(1+F5)</f>
        <v>374.39284806</v>
      </c>
    </row>
    <row r="7" ht="20.1" customHeight="1">
      <c r="B7" t="s" s="10">
        <v>6</v>
      </c>
      <c r="C7" s="16">
        <f>AVERAGE('Sales'!I28)</f>
        <v>-0.646736619220417</v>
      </c>
      <c r="D7" s="17">
        <f>C7</f>
        <v>-0.646736619220417</v>
      </c>
      <c r="E7" s="17">
        <f>D7</f>
        <v>-0.646736619220417</v>
      </c>
      <c r="F7" s="17">
        <f>E7</f>
        <v>-0.646736619220417</v>
      </c>
    </row>
    <row r="8" ht="20.1" customHeight="1">
      <c r="B8" t="s" s="10">
        <v>7</v>
      </c>
      <c r="C8" s="18">
        <f>C7*C6</f>
        <v>-221.921203519294</v>
      </c>
      <c r="D8" s="19">
        <f>D7*D6</f>
        <v>-237.455687765644</v>
      </c>
      <c r="E8" s="19">
        <f>E7*E6</f>
        <v>-244.579358398614</v>
      </c>
      <c r="F8" s="19">
        <f>F7*F6</f>
        <v>-242.133564814628</v>
      </c>
    </row>
    <row r="9" ht="20.1" customHeight="1">
      <c r="B9" t="s" s="10">
        <v>8</v>
      </c>
      <c r="C9" s="20">
        <f>C6+C8</f>
        <v>121.218796480706</v>
      </c>
      <c r="D9" s="21">
        <f>D6+D8</f>
        <v>129.704112234356</v>
      </c>
      <c r="E9" s="21">
        <f>E6+E8</f>
        <v>133.595235601386</v>
      </c>
      <c r="F9" s="21">
        <f>F6+F8</f>
        <v>132.259283245372</v>
      </c>
    </row>
    <row r="10" ht="20.05" customHeight="1">
      <c r="B10" t="s" s="10">
        <v>9</v>
      </c>
      <c r="C10" s="18">
        <f>AVERAGE('Cashflow'!E27)</f>
        <v>-48.6</v>
      </c>
      <c r="D10" s="19">
        <f>C10</f>
        <v>-48.6</v>
      </c>
      <c r="E10" s="19">
        <f>D10</f>
        <v>-48.6</v>
      </c>
      <c r="F10" s="19">
        <f>E10</f>
        <v>-48.6</v>
      </c>
    </row>
    <row r="11" ht="20.1" customHeight="1">
      <c r="B11" t="s" s="10">
        <v>10</v>
      </c>
      <c r="C11" s="18">
        <f>C12+C15+C13</f>
        <v>-72.618796480706</v>
      </c>
      <c r="D11" s="19">
        <f>D12+D15+D13</f>
        <v>-77.405157876825</v>
      </c>
      <c r="E11" s="19">
        <f>E12+E15+E13</f>
        <v>-77.27949280069301</v>
      </c>
      <c r="F11" s="19">
        <f>F12+F15+F13</f>
        <v>-75.917422872686</v>
      </c>
    </row>
    <row r="12" ht="20.1" customHeight="1">
      <c r="B12" t="s" s="10">
        <v>11</v>
      </c>
      <c r="C12" s="18">
        <f>-('Balance sheets '!G22)/20</f>
        <v>-16.75</v>
      </c>
      <c r="D12" s="19">
        <f>-C27/20</f>
        <v>-14.6125</v>
      </c>
      <c r="E12" s="19">
        <f>-D27/20</f>
        <v>-13.881875</v>
      </c>
      <c r="F12" s="19">
        <f>-E27/20</f>
        <v>-13.18778125</v>
      </c>
    </row>
    <row r="13" ht="20.1" customHeight="1">
      <c r="B13" t="s" s="10">
        <v>12</v>
      </c>
      <c r="C13" s="18">
        <f>-MIN(0,C16)</f>
        <v>1.340601759647</v>
      </c>
      <c r="D13" s="19">
        <f>-MIN(C28,D16)</f>
        <v>-1.340601759647</v>
      </c>
      <c r="E13" s="19">
        <f>-MIN(D28,E16)</f>
        <v>0</v>
      </c>
      <c r="F13" s="19">
        <f>-MIN(E28,F16)</f>
        <v>0</v>
      </c>
    </row>
    <row r="14" ht="20.1" customHeight="1">
      <c r="B14" t="s" s="10">
        <v>13</v>
      </c>
      <c r="C14" s="22">
        <v>0.5</v>
      </c>
      <c r="D14" s="19"/>
      <c r="E14" s="19"/>
      <c r="F14" s="19"/>
    </row>
    <row r="15" ht="20.1" customHeight="1">
      <c r="B15" t="s" s="10">
        <v>14</v>
      </c>
      <c r="C15" s="18">
        <f>IF(C22&gt;0,-C22*$C$14,0)</f>
        <v>-57.209398240353</v>
      </c>
      <c r="D15" s="19">
        <f>IF(D22&gt;0,-D22*$C$14,0)</f>
        <v>-61.452056117178</v>
      </c>
      <c r="E15" s="19">
        <f>IF(E22&gt;0,-E22*$C$14,0)</f>
        <v>-63.397617800693</v>
      </c>
      <c r="F15" s="19">
        <f>IF(F22&gt;0,-F22*$C$14,0)</f>
        <v>-62.729641622686</v>
      </c>
    </row>
    <row r="16" ht="20.05" customHeight="1">
      <c r="B16" t="s" s="10">
        <v>15</v>
      </c>
      <c r="C16" s="18">
        <f>C9+C10+C12+C15</f>
        <v>-1.340601759647</v>
      </c>
      <c r="D16" s="19">
        <f>D9+D10+D12+D15</f>
        <v>5.039556117178</v>
      </c>
      <c r="E16" s="19">
        <f>E9+E10+E12+E15</f>
        <v>7.715742800693</v>
      </c>
      <c r="F16" s="19">
        <f>F9+F10+F12+F15</f>
        <v>7.741860372686</v>
      </c>
    </row>
    <row r="17" ht="20.1" customHeight="1">
      <c r="B17" t="s" s="10">
        <v>16</v>
      </c>
      <c r="C17" s="18">
        <f>'Balance sheets '!C23</f>
        <v>58</v>
      </c>
      <c r="D17" s="19">
        <f>C19</f>
        <v>58</v>
      </c>
      <c r="E17" s="19">
        <f>D19</f>
        <v>61.698954357531</v>
      </c>
      <c r="F17" s="19">
        <f>E19</f>
        <v>69.414697158224</v>
      </c>
    </row>
    <row r="18" ht="20.1" customHeight="1">
      <c r="B18" t="s" s="10">
        <v>17</v>
      </c>
      <c r="C18" s="18">
        <f>C9+C10+C11</f>
        <v>0</v>
      </c>
      <c r="D18" s="19">
        <f>D9+D10+D11</f>
        <v>3.698954357531</v>
      </c>
      <c r="E18" s="19">
        <f>E9+E10+E11</f>
        <v>7.715742800693</v>
      </c>
      <c r="F18" s="19">
        <f>F9+F10+F11</f>
        <v>7.741860372686</v>
      </c>
    </row>
    <row r="19" ht="20.1" customHeight="1">
      <c r="B19" t="s" s="10">
        <v>18</v>
      </c>
      <c r="C19" s="18">
        <f>C17+C18</f>
        <v>58</v>
      </c>
      <c r="D19" s="19">
        <f>D17+D18</f>
        <v>61.698954357531</v>
      </c>
      <c r="E19" s="19">
        <f>E17+E18</f>
        <v>69.414697158224</v>
      </c>
      <c r="F19" s="19">
        <f>F17+F18</f>
        <v>77.15655753091001</v>
      </c>
    </row>
    <row r="20" ht="20.1" customHeight="1">
      <c r="B20" t="s" s="23">
        <v>19</v>
      </c>
      <c r="C20" s="24"/>
      <c r="D20" s="25"/>
      <c r="E20" s="25"/>
      <c r="F20" s="26"/>
    </row>
    <row r="21" ht="20.1" customHeight="1">
      <c r="B21" t="s" s="10">
        <v>20</v>
      </c>
      <c r="C21" s="18">
        <f>-AVERAGE('Sales'!E28)</f>
        <v>-6.8</v>
      </c>
      <c r="D21" s="19">
        <f>C21</f>
        <v>-6.8</v>
      </c>
      <c r="E21" s="19">
        <f>D21</f>
        <v>-6.8</v>
      </c>
      <c r="F21" s="19">
        <f>E21</f>
        <v>-6.8</v>
      </c>
    </row>
    <row r="22" ht="20.1" customHeight="1">
      <c r="B22" t="s" s="10">
        <v>21</v>
      </c>
      <c r="C22" s="18">
        <f>C6+C8+C21</f>
        <v>114.418796480706</v>
      </c>
      <c r="D22" s="19">
        <f>D6+D8+D21</f>
        <v>122.904112234356</v>
      </c>
      <c r="E22" s="19">
        <f>E6+E8+E21</f>
        <v>126.795235601386</v>
      </c>
      <c r="F22" s="19">
        <f>F6+F8+F21</f>
        <v>125.459283245372</v>
      </c>
    </row>
    <row r="23" ht="20.1" customHeight="1">
      <c r="B23" t="s" s="23">
        <v>22</v>
      </c>
      <c r="C23" s="24"/>
      <c r="D23" s="25"/>
      <c r="E23" s="25"/>
      <c r="F23" s="25"/>
    </row>
    <row r="24" ht="20.1" customHeight="1">
      <c r="B24" t="s" s="10">
        <v>23</v>
      </c>
      <c r="C24" s="18">
        <f>'Balance sheets '!E23+'Balance sheets '!F23-C10</f>
        <v>1270.1</v>
      </c>
      <c r="D24" s="19">
        <f>C24-D10</f>
        <v>1318.7</v>
      </c>
      <c r="E24" s="19">
        <f>D24-E10</f>
        <v>1367.3</v>
      </c>
      <c r="F24" s="19">
        <f>E24-F10</f>
        <v>1415.9</v>
      </c>
    </row>
    <row r="25" ht="20.1" customHeight="1">
      <c r="B25" t="s" s="10">
        <v>24</v>
      </c>
      <c r="C25" s="18">
        <f>'Balance sheets '!F23-C21</f>
        <v>108.3</v>
      </c>
      <c r="D25" s="19">
        <f>C25-D21</f>
        <v>115.1</v>
      </c>
      <c r="E25" s="19">
        <f>D25-E21</f>
        <v>121.9</v>
      </c>
      <c r="F25" s="19">
        <f>E25-F21</f>
        <v>128.7</v>
      </c>
    </row>
    <row r="26" ht="20.1" customHeight="1">
      <c r="B26" t="s" s="10">
        <v>25</v>
      </c>
      <c r="C26" s="18">
        <f>C24-C25</f>
        <v>1161.8</v>
      </c>
      <c r="D26" s="19">
        <f>D24-D25</f>
        <v>1203.6</v>
      </c>
      <c r="E26" s="19">
        <f>E24-E25</f>
        <v>1245.4</v>
      </c>
      <c r="F26" s="19">
        <f>F24-F25</f>
        <v>1287.2</v>
      </c>
    </row>
    <row r="27" ht="20.1" customHeight="1">
      <c r="B27" t="s" s="10">
        <v>11</v>
      </c>
      <c r="C27" s="18">
        <f>'Balance sheets '!G23+C12</f>
        <v>292.25</v>
      </c>
      <c r="D27" s="19">
        <f>C27+D12</f>
        <v>277.6375</v>
      </c>
      <c r="E27" s="19">
        <f>D27+E12</f>
        <v>263.755625</v>
      </c>
      <c r="F27" s="19">
        <f>E27+F12</f>
        <v>250.56784375</v>
      </c>
    </row>
    <row r="28" ht="20.1" customHeight="1">
      <c r="B28" t="s" s="10">
        <v>12</v>
      </c>
      <c r="C28" s="18">
        <f>C13</f>
        <v>1.340601759647</v>
      </c>
      <c r="D28" s="19">
        <f>C28+D13</f>
        <v>0</v>
      </c>
      <c r="E28" s="19">
        <f>D28+E13</f>
        <v>0</v>
      </c>
      <c r="F28" s="19">
        <f>E28+F13</f>
        <v>0</v>
      </c>
    </row>
    <row r="29" ht="20.1" customHeight="1">
      <c r="B29" t="s" s="10">
        <v>26</v>
      </c>
      <c r="C29" s="18">
        <f>'Balance sheets '!H23+C22+C15</f>
        <v>926.209398240353</v>
      </c>
      <c r="D29" s="19">
        <f>C29+D22+D15</f>
        <v>987.6614543575311</v>
      </c>
      <c r="E29" s="19">
        <f>D29+E22+E15</f>
        <v>1051.059072158220</v>
      </c>
      <c r="F29" s="19">
        <f>E29+F22+F15</f>
        <v>1113.788713780910</v>
      </c>
    </row>
    <row r="30" ht="20.1" customHeight="1">
      <c r="B30" t="s" s="10">
        <v>27</v>
      </c>
      <c r="C30" s="18">
        <f>C27+C28+C29-C19-C26</f>
        <v>0</v>
      </c>
      <c r="D30" s="19">
        <f>D27+D28+D29-D19-D26</f>
        <v>0</v>
      </c>
      <c r="E30" s="19">
        <f>E27+E28+E29-E19-E26</f>
        <v>-4e-12</v>
      </c>
      <c r="F30" s="19">
        <f>F27+F28+F29-F19-F26</f>
        <v>0</v>
      </c>
    </row>
    <row r="31" ht="20.1" customHeight="1">
      <c r="B31" t="s" s="10">
        <v>28</v>
      </c>
      <c r="C31" s="18">
        <f>C19-C27-C28</f>
        <v>-235.590601759647</v>
      </c>
      <c r="D31" s="19">
        <f>D19-D27-D28</f>
        <v>-215.938545642469</v>
      </c>
      <c r="E31" s="19">
        <f>E19-E27-E28</f>
        <v>-194.340927841776</v>
      </c>
      <c r="F31" s="19">
        <f>F19-F27-F28</f>
        <v>-173.411286219090</v>
      </c>
    </row>
    <row r="32" ht="20.1" customHeight="1">
      <c r="B32" t="s" s="23">
        <v>29</v>
      </c>
      <c r="C32" s="18"/>
      <c r="D32" s="19"/>
      <c r="E32" s="19"/>
      <c r="F32" s="19"/>
    </row>
    <row r="33" ht="20.1" customHeight="1">
      <c r="B33" t="s" s="10">
        <v>30</v>
      </c>
      <c r="C33" s="18">
        <f>'Cashflow'!N28-C11</f>
        <v>143.385796480706</v>
      </c>
      <c r="D33" s="19">
        <f>C33-D11</f>
        <v>220.790954357531</v>
      </c>
      <c r="E33" s="19">
        <f>D33-E11</f>
        <v>298.070447158224</v>
      </c>
      <c r="F33" s="19">
        <f>E33-F11</f>
        <v>373.987870030910</v>
      </c>
    </row>
    <row r="34" ht="20.1" customHeight="1">
      <c r="B34" t="s" s="10">
        <v>31</v>
      </c>
      <c r="C34" s="18"/>
      <c r="D34" s="19"/>
      <c r="E34" s="19"/>
      <c r="F34" s="19">
        <v>4161000000000</v>
      </c>
    </row>
    <row r="35" ht="20.1" customHeight="1">
      <c r="B35" t="s" s="10">
        <v>31</v>
      </c>
      <c r="C35" s="18"/>
      <c r="D35" s="19"/>
      <c r="E35" s="19"/>
      <c r="F35" s="19">
        <f>F34/1000000000</f>
        <v>4161</v>
      </c>
    </row>
    <row r="36" ht="20.1" customHeight="1">
      <c r="B36" t="s" s="10">
        <v>32</v>
      </c>
      <c r="C36" s="18"/>
      <c r="D36" s="19"/>
      <c r="E36" s="19"/>
      <c r="F36" s="27">
        <f>F35/(F19+F26)</f>
        <v>3.04978927761391</v>
      </c>
    </row>
    <row r="37" ht="20.1" customHeight="1">
      <c r="B37" t="s" s="10">
        <v>33</v>
      </c>
      <c r="C37" s="18"/>
      <c r="D37" s="19"/>
      <c r="E37" s="19"/>
      <c r="F37" s="17">
        <f>-(C15+D15+E15+F15)/F35</f>
        <v>0.0588292991542682</v>
      </c>
    </row>
    <row r="38" ht="20.1" customHeight="1">
      <c r="B38" t="s" s="10">
        <v>3</v>
      </c>
      <c r="C38" s="18"/>
      <c r="D38" s="19"/>
      <c r="E38" s="19"/>
      <c r="F38" s="19">
        <f>SUM(C9:F10)</f>
        <v>322.377427561820</v>
      </c>
    </row>
    <row r="39" ht="20.1" customHeight="1">
      <c r="B39" t="s" s="10">
        <v>34</v>
      </c>
      <c r="C39" s="18"/>
      <c r="D39" s="19"/>
      <c r="E39" s="19"/>
      <c r="F39" s="19">
        <f>'Balance sheets '!E23/F38</f>
        <v>3.47418865046073</v>
      </c>
    </row>
    <row r="40" ht="20.1" customHeight="1">
      <c r="B40" t="s" s="10">
        <v>29</v>
      </c>
      <c r="C40" s="18"/>
      <c r="D40" s="19"/>
      <c r="E40" s="19"/>
      <c r="F40" s="19">
        <f>F35/F38</f>
        <v>12.907231227292</v>
      </c>
    </row>
    <row r="41" ht="20.1" customHeight="1">
      <c r="B41" t="s" s="10">
        <v>35</v>
      </c>
      <c r="C41" s="18"/>
      <c r="D41" s="19"/>
      <c r="E41" s="19"/>
      <c r="F41" s="19">
        <v>17</v>
      </c>
    </row>
    <row r="42" ht="20.1" customHeight="1">
      <c r="B42" t="s" s="10">
        <v>36</v>
      </c>
      <c r="C42" s="18"/>
      <c r="D42" s="19"/>
      <c r="E42" s="19"/>
      <c r="F42" s="19">
        <f>F38*F41</f>
        <v>5480.416268550940</v>
      </c>
    </row>
    <row r="43" ht="20.1" customHeight="1">
      <c r="B43" t="s" s="10">
        <v>37</v>
      </c>
      <c r="C43" s="18"/>
      <c r="D43" s="19"/>
      <c r="E43" s="19"/>
      <c r="F43" s="19">
        <f>F35/F45</f>
        <v>3.8</v>
      </c>
    </row>
    <row r="44" ht="20.1" customHeight="1">
      <c r="B44" t="s" s="10">
        <v>38</v>
      </c>
      <c r="C44" s="18"/>
      <c r="D44" s="19"/>
      <c r="E44" s="19"/>
      <c r="F44" s="19">
        <f>F42/F43</f>
        <v>1442.214807513410</v>
      </c>
    </row>
    <row r="45" ht="20.1" customHeight="1">
      <c r="B45" t="s" s="10">
        <v>39</v>
      </c>
      <c r="C45" s="18"/>
      <c r="D45" s="19"/>
      <c r="E45" s="19"/>
      <c r="F45" s="19">
        <v>1095</v>
      </c>
    </row>
    <row r="46" ht="20.1" customHeight="1">
      <c r="B46" t="s" s="10">
        <v>40</v>
      </c>
      <c r="C46" s="18"/>
      <c r="D46" s="19"/>
      <c r="E46" s="19"/>
      <c r="F46" s="17">
        <f>F44/F45-1</f>
        <v>0.317091148414073</v>
      </c>
    </row>
    <row r="47" ht="20.1" customHeight="1">
      <c r="B47" t="s" s="10">
        <v>41</v>
      </c>
      <c r="C47" s="18"/>
      <c r="D47" s="19"/>
      <c r="E47" s="19"/>
      <c r="F47" s="17">
        <f>'Sales'!C28/'Sales'!C24-1</f>
        <v>0.660155352300409</v>
      </c>
    </row>
    <row r="48" ht="20.1" customHeight="1">
      <c r="B48" t="s" s="10">
        <v>42</v>
      </c>
      <c r="C48" s="18"/>
      <c r="D48" s="19"/>
      <c r="E48" s="19"/>
      <c r="F48" s="17">
        <f>'Sales'!F31/'Sales'!E31-1</f>
        <v>-0.0960259572091552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3.2266" style="28" customWidth="1"/>
    <col min="2" max="2" width="7.71094" style="28" customWidth="1"/>
    <col min="3" max="3" width="9.42969" style="28" customWidth="1"/>
    <col min="4" max="5" width="11.6719" style="28" customWidth="1"/>
    <col min="6" max="10" width="9.42969" style="28" customWidth="1"/>
    <col min="11" max="16384" width="16.3516" style="28" customWidth="1"/>
  </cols>
  <sheetData>
    <row r="1" ht="51.6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43</v>
      </c>
      <c r="G3" t="s" s="5">
        <v>44</v>
      </c>
      <c r="H3" t="s" s="5">
        <v>45</v>
      </c>
      <c r="I3" t="s" s="5">
        <v>45</v>
      </c>
      <c r="J3" t="s" s="5">
        <v>35</v>
      </c>
    </row>
    <row r="4" ht="20.25" customHeight="1">
      <c r="B4" s="29">
        <v>2016</v>
      </c>
      <c r="C4" s="30">
        <v>50.3</v>
      </c>
      <c r="D4" s="8"/>
      <c r="E4" s="31">
        <v>0</v>
      </c>
      <c r="F4" s="32">
        <v>0</v>
      </c>
      <c r="G4" s="9"/>
      <c r="H4" s="33">
        <f>(E4+F4-C4)/C4</f>
        <v>-1</v>
      </c>
      <c r="I4" s="9"/>
      <c r="J4" s="9"/>
    </row>
    <row r="5" ht="20.05" customHeight="1">
      <c r="B5" s="34"/>
      <c r="C5" s="35">
        <v>50.3</v>
      </c>
      <c r="D5" s="26"/>
      <c r="E5" s="19">
        <v>0</v>
      </c>
      <c r="F5" s="36">
        <v>5.9</v>
      </c>
      <c r="G5" s="17">
        <f>C5/C4-1</f>
        <v>0</v>
      </c>
      <c r="H5" s="17">
        <f>(E5+F5-C5)/C5</f>
        <v>-0.882703777335984</v>
      </c>
      <c r="I5" s="17"/>
      <c r="J5" s="17"/>
    </row>
    <row r="6" ht="20.05" customHeight="1">
      <c r="B6" s="34"/>
      <c r="C6" s="35">
        <v>52.5</v>
      </c>
      <c r="D6" s="26"/>
      <c r="E6" s="19">
        <v>0</v>
      </c>
      <c r="F6" s="36">
        <v>9.199999999999999</v>
      </c>
      <c r="G6" s="17">
        <f>C6/C5-1</f>
        <v>0.0437375745526839</v>
      </c>
      <c r="H6" s="17">
        <f>(E6+F6-C6)/C6</f>
        <v>-0.824761904761905</v>
      </c>
      <c r="I6" s="17"/>
      <c r="J6" s="17"/>
    </row>
    <row r="7" ht="20.05" customHeight="1">
      <c r="B7" s="34"/>
      <c r="C7" s="35">
        <v>54.1</v>
      </c>
      <c r="D7" s="26"/>
      <c r="E7" s="19">
        <v>7.6</v>
      </c>
      <c r="F7" s="36">
        <v>4.5</v>
      </c>
      <c r="G7" s="17">
        <f>C7/C6-1</f>
        <v>0.0304761904761905</v>
      </c>
      <c r="H7" s="17">
        <f>(E7+F7-C7)/C7</f>
        <v>-0.77634011090573</v>
      </c>
      <c r="I7" s="17"/>
      <c r="J7" s="17"/>
    </row>
    <row r="8" ht="20.05" customHeight="1">
      <c r="B8" s="37">
        <v>2017</v>
      </c>
      <c r="C8" s="35">
        <v>50.6</v>
      </c>
      <c r="D8" s="26"/>
      <c r="E8" s="19">
        <v>0</v>
      </c>
      <c r="F8" s="36">
        <v>5.8</v>
      </c>
      <c r="G8" s="17">
        <f>C8/C7-1</f>
        <v>-0.06469500924214421</v>
      </c>
      <c r="H8" s="17">
        <f>(E8+F8-C8)/C8</f>
        <v>-0.885375494071146</v>
      </c>
      <c r="I8" s="17">
        <f>AVERAGE(H5:H8)</f>
        <v>-0.842295321768691</v>
      </c>
      <c r="J8" s="17"/>
    </row>
    <row r="9" ht="20.05" customHeight="1">
      <c r="B9" s="34"/>
      <c r="C9" s="35">
        <v>55.2</v>
      </c>
      <c r="D9" s="26"/>
      <c r="E9" s="19">
        <v>3.8</v>
      </c>
      <c r="F9" s="36">
        <v>10</v>
      </c>
      <c r="G9" s="17">
        <f>C9/C8-1</f>
        <v>0.0909090909090909</v>
      </c>
      <c r="H9" s="17">
        <f>(E9+F9-C9)/C9</f>
        <v>-0.75</v>
      </c>
      <c r="I9" s="17">
        <f>AVERAGE(H6:H9)</f>
        <v>-0.809119377434695</v>
      </c>
      <c r="J9" s="17"/>
    </row>
    <row r="10" ht="20.05" customHeight="1">
      <c r="B10" s="34"/>
      <c r="C10" s="35">
        <v>72</v>
      </c>
      <c r="D10" s="26"/>
      <c r="E10" s="19">
        <v>1.9</v>
      </c>
      <c r="F10" s="36">
        <v>16.5</v>
      </c>
      <c r="G10" s="17">
        <f>C10/C9-1</f>
        <v>0.304347826086957</v>
      </c>
      <c r="H10" s="17">
        <f>(E10+F10-C10)/C10</f>
        <v>-0.744444444444444</v>
      </c>
      <c r="I10" s="17">
        <f>AVERAGE(H7:H10)</f>
        <v>-0.7890400123553299</v>
      </c>
      <c r="J10" s="17"/>
    </row>
    <row r="11" ht="20.05" customHeight="1">
      <c r="B11" s="34"/>
      <c r="C11" s="35">
        <v>62</v>
      </c>
      <c r="D11" s="26"/>
      <c r="E11" s="19">
        <v>2.3</v>
      </c>
      <c r="F11" s="36">
        <v>14.8</v>
      </c>
      <c r="G11" s="17">
        <f>C11/C10-1</f>
        <v>-0.138888888888889</v>
      </c>
      <c r="H11" s="17">
        <f>(E11+F11-C11)/C11</f>
        <v>-0.724193548387097</v>
      </c>
      <c r="I11" s="17">
        <f>AVERAGE(H8:H11)</f>
        <v>-0.776003371725672</v>
      </c>
      <c r="J11" s="17"/>
    </row>
    <row r="12" ht="20.05" customHeight="1">
      <c r="B12" s="37">
        <v>2018</v>
      </c>
      <c r="C12" s="35">
        <v>78.5</v>
      </c>
      <c r="D12" s="26"/>
      <c r="E12" s="19">
        <v>2.1</v>
      </c>
      <c r="F12" s="36">
        <v>18</v>
      </c>
      <c r="G12" s="17">
        <f>C12/C11-1</f>
        <v>0.266129032258065</v>
      </c>
      <c r="H12" s="17">
        <f>(E12+F12-C12)/C12</f>
        <v>-0.743949044585987</v>
      </c>
      <c r="I12" s="17">
        <f>AVERAGE(H9:H12)</f>
        <v>-0.740646759354382</v>
      </c>
      <c r="J12" s="17"/>
    </row>
    <row r="13" ht="20.05" customHeight="1">
      <c r="B13" s="34"/>
      <c r="C13" s="35">
        <v>76.90000000000001</v>
      </c>
      <c r="D13" s="26"/>
      <c r="E13" s="19">
        <v>2.2</v>
      </c>
      <c r="F13" s="36">
        <v>18.5</v>
      </c>
      <c r="G13" s="17">
        <f>C13/C12-1</f>
        <v>-0.0203821656050955</v>
      </c>
      <c r="H13" s="17">
        <f>(E13+F13-C13)/C13</f>
        <v>-0.730819245773732</v>
      </c>
      <c r="I13" s="17">
        <f>AVERAGE(H10:H13)</f>
        <v>-0.735851570797815</v>
      </c>
      <c r="J13" s="17"/>
    </row>
    <row r="14" ht="20.05" customHeight="1">
      <c r="B14" s="34"/>
      <c r="C14" s="35">
        <v>85</v>
      </c>
      <c r="D14" s="26"/>
      <c r="E14" s="19">
        <v>-4.3</v>
      </c>
      <c r="F14" s="36">
        <v>22.3</v>
      </c>
      <c r="G14" s="17">
        <f>C14/C13-1</f>
        <v>0.105331599479844</v>
      </c>
      <c r="H14" s="17">
        <f>(E14+F14-C14)/C14</f>
        <v>-0.788235294117647</v>
      </c>
      <c r="I14" s="17">
        <f>AVERAGE(H11:H14)</f>
        <v>-0.746799283216116</v>
      </c>
      <c r="J14" s="17"/>
    </row>
    <row r="15" ht="20.05" customHeight="1">
      <c r="B15" s="34"/>
      <c r="C15" s="35">
        <v>85.09999999999999</v>
      </c>
      <c r="D15" s="26"/>
      <c r="E15" s="19">
        <v>8.699999999999999</v>
      </c>
      <c r="F15" s="36">
        <v>23.1</v>
      </c>
      <c r="G15" s="17">
        <f>C15/C14-1</f>
        <v>0.00117647058823529</v>
      </c>
      <c r="H15" s="17">
        <f>(E15+F15-C15)/C15</f>
        <v>-0.626321974148061</v>
      </c>
      <c r="I15" s="17">
        <f>AVERAGE(H12:H15)</f>
        <v>-0.722331389656357</v>
      </c>
      <c r="J15" s="17"/>
    </row>
    <row r="16" ht="20.05" customHeight="1">
      <c r="B16" s="37">
        <v>2019</v>
      </c>
      <c r="C16" s="35">
        <v>88</v>
      </c>
      <c r="D16" s="26"/>
      <c r="E16" s="19">
        <v>2.3</v>
      </c>
      <c r="F16" s="36">
        <v>23</v>
      </c>
      <c r="G16" s="17">
        <f>C16/C15-1</f>
        <v>0.0340775558166863</v>
      </c>
      <c r="H16" s="17">
        <f>(E16+F16-C16)/C16</f>
        <v>-0.7125</v>
      </c>
      <c r="I16" s="17">
        <f>AVERAGE(H13:H16)</f>
        <v>-0.71446912850986</v>
      </c>
      <c r="J16" s="17"/>
    </row>
    <row r="17" ht="20.05" customHeight="1">
      <c r="B17" s="34"/>
      <c r="C17" s="35">
        <v>87.8</v>
      </c>
      <c r="D17" s="26"/>
      <c r="E17" s="19">
        <v>1.9</v>
      </c>
      <c r="F17" s="36">
        <v>22.1</v>
      </c>
      <c r="G17" s="17">
        <f>C17/C16-1</f>
        <v>-0.00227272727272727</v>
      </c>
      <c r="H17" s="17">
        <f>(E17+F17-C17)/C17</f>
        <v>-0.726651480637813</v>
      </c>
      <c r="I17" s="17">
        <f>AVERAGE(H14:H17)</f>
        <v>-0.7134271872258801</v>
      </c>
      <c r="J17" s="17"/>
    </row>
    <row r="18" ht="20.05" customHeight="1">
      <c r="B18" s="34"/>
      <c r="C18" s="35">
        <v>91.40000000000001</v>
      </c>
      <c r="D18" s="26"/>
      <c r="E18" s="19">
        <v>2.5</v>
      </c>
      <c r="F18" s="36">
        <v>20.4</v>
      </c>
      <c r="G18" s="17">
        <f>C18/C17-1</f>
        <v>0.041002277904328</v>
      </c>
      <c r="H18" s="17">
        <f>(E18+F18-C18)/C18</f>
        <v>-0.7494529540481401</v>
      </c>
      <c r="I18" s="17">
        <f>AVERAGE(H15:H18)</f>
        <v>-0.7037316022085039</v>
      </c>
      <c r="J18" s="17"/>
    </row>
    <row r="19" ht="20.05" customHeight="1">
      <c r="B19" s="34"/>
      <c r="C19" s="35">
        <v>94.3</v>
      </c>
      <c r="D19" s="26"/>
      <c r="E19" s="19">
        <v>2.9</v>
      </c>
      <c r="F19" s="36">
        <v>22.5</v>
      </c>
      <c r="G19" s="17">
        <f>C19/C18-1</f>
        <v>0.0317286652078775</v>
      </c>
      <c r="H19" s="17">
        <f>(E19+F19-C19)/C19</f>
        <v>-0.730646871686108</v>
      </c>
      <c r="I19" s="17">
        <f>AVERAGE(H16:H19)</f>
        <v>-0.7298128265930151</v>
      </c>
      <c r="J19" s="17"/>
    </row>
    <row r="20" ht="20.05" customHeight="1">
      <c r="B20" s="37">
        <v>2020</v>
      </c>
      <c r="C20" s="35">
        <v>96.8</v>
      </c>
      <c r="D20" s="26"/>
      <c r="E20" s="19">
        <v>3.2</v>
      </c>
      <c r="F20" s="36">
        <v>23.4</v>
      </c>
      <c r="G20" s="17">
        <f>C20/C19-1</f>
        <v>0.0265111346765642</v>
      </c>
      <c r="H20" s="17">
        <f>(E20+F20-C20)/C20</f>
        <v>-0.725206611570248</v>
      </c>
      <c r="I20" s="17">
        <f>AVERAGE(H17:H20)</f>
        <v>-0.732989479485577</v>
      </c>
      <c r="J20" s="17"/>
    </row>
    <row r="21" ht="20.05" customHeight="1">
      <c r="B21" s="34"/>
      <c r="C21" s="35">
        <v>96.2</v>
      </c>
      <c r="D21" s="25">
        <v>92.19</v>
      </c>
      <c r="E21" s="19">
        <f>6.5-E20</f>
        <v>3.3</v>
      </c>
      <c r="F21" s="36">
        <v>28.3</v>
      </c>
      <c r="G21" s="17">
        <f>C21/C20-1</f>
        <v>-0.00619834710743802</v>
      </c>
      <c r="H21" s="17">
        <f>(E21+F21-C21)/C21</f>
        <v>-0.6715176715176721</v>
      </c>
      <c r="I21" s="17">
        <f>AVERAGE(H18:H21)</f>
        <v>-0.7192060272055421</v>
      </c>
      <c r="J21" s="17"/>
    </row>
    <row r="22" ht="20.05" customHeight="1">
      <c r="B22" s="34"/>
      <c r="C22" s="35">
        <f>344.5-SUM(C20:C21)</f>
        <v>151.5</v>
      </c>
      <c r="D22" s="25">
        <v>100.54</v>
      </c>
      <c r="E22" s="19">
        <f>10.3-SUM(E20:E21)</f>
        <v>3.8</v>
      </c>
      <c r="F22" s="36">
        <f>91-SUM(F20:F21)</f>
        <v>39.3</v>
      </c>
      <c r="G22" s="17">
        <f>C22/C21-1</f>
        <v>0.574844074844075</v>
      </c>
      <c r="H22" s="17">
        <f>(E22+F22-C22)/C22</f>
        <v>-0.715511551155116</v>
      </c>
      <c r="I22" s="17">
        <f>AVERAGE(H19:H22)</f>
        <v>-0.710720676482286</v>
      </c>
      <c r="J22" s="17"/>
    </row>
    <row r="23" ht="20.05" customHeight="1">
      <c r="B23" s="34"/>
      <c r="C23" s="35">
        <f>565.43-SUM(C20:C22)</f>
        <v>220.93</v>
      </c>
      <c r="D23" s="25">
        <v>156.045</v>
      </c>
      <c r="E23" s="19">
        <f>18.6-SUM(E20:E22)</f>
        <v>8.300000000000001</v>
      </c>
      <c r="F23" s="36">
        <f>144.19-SUM(F20:F22)</f>
        <v>53.19</v>
      </c>
      <c r="G23" s="17">
        <f>C23/C22-1</f>
        <v>0.458283828382838</v>
      </c>
      <c r="H23" s="17">
        <f>(E23+F23-C23)/C23</f>
        <v>-0.72167654913321</v>
      </c>
      <c r="I23" s="17">
        <f>AVERAGE(H20:H23)</f>
        <v>-0.708478095844062</v>
      </c>
      <c r="J23" s="17"/>
    </row>
    <row r="24" ht="20.05" customHeight="1">
      <c r="B24" s="37">
        <v>2021</v>
      </c>
      <c r="C24" s="35">
        <v>217.57</v>
      </c>
      <c r="D24" s="25">
        <v>227.5579</v>
      </c>
      <c r="E24" s="19">
        <f>4.1</f>
        <v>4.1</v>
      </c>
      <c r="F24" s="25">
        <v>69</v>
      </c>
      <c r="G24" s="17">
        <f>C24/C23-1</f>
        <v>-0.0152084370615127</v>
      </c>
      <c r="H24" s="17">
        <f>(E24+F24-C24)/C24</f>
        <v>-0.664016178701108</v>
      </c>
      <c r="I24" s="17">
        <f>AVERAGE(H21:H24)</f>
        <v>-0.693180487626777</v>
      </c>
      <c r="J24" s="17"/>
    </row>
    <row r="25" ht="20.05" customHeight="1">
      <c r="B25" s="34"/>
      <c r="C25" s="35">
        <v>254.43</v>
      </c>
      <c r="D25" s="25">
        <v>219.7457</v>
      </c>
      <c r="E25" s="21">
        <v>4.5</v>
      </c>
      <c r="F25" s="25">
        <v>86</v>
      </c>
      <c r="G25" s="17">
        <f>C25/C24-1</f>
        <v>0.16941673944018</v>
      </c>
      <c r="H25" s="17">
        <f>(E25+F25-C25)/C25</f>
        <v>-0.644302951695948</v>
      </c>
      <c r="I25" s="17">
        <f>AVERAGE(H22:H25)</f>
        <v>-0.686376807671346</v>
      </c>
      <c r="J25" s="17"/>
    </row>
    <row r="26" ht="20.05" customHeight="1">
      <c r="B26" s="34"/>
      <c r="C26" s="35">
        <f>832.1-SUM(C24:C25)</f>
        <v>360.1</v>
      </c>
      <c r="D26" s="25">
        <v>264.6072</v>
      </c>
      <c r="E26" s="21">
        <f>13.6-SUM(E24:E25)</f>
        <v>5</v>
      </c>
      <c r="F26" s="19">
        <f>276.2-SUM(F24:F25)</f>
        <v>121.2</v>
      </c>
      <c r="G26" s="17">
        <f>C26/C25-1</f>
        <v>0.415320520378886</v>
      </c>
      <c r="H26" s="17">
        <f>(E26+F26-C26)/C26</f>
        <v>-0.649541793946126</v>
      </c>
      <c r="I26" s="17">
        <f>AVERAGE(H23:H26)</f>
        <v>-0.669884368369098</v>
      </c>
      <c r="J26" s="17"/>
    </row>
    <row r="27" ht="20.05" customHeight="1">
      <c r="B27" s="34"/>
      <c r="C27" s="35">
        <f>1193.5-SUM(C24:C26)</f>
        <v>361.4</v>
      </c>
      <c r="D27" s="25">
        <v>396.11</v>
      </c>
      <c r="E27" s="19">
        <f>21.2-SUM(E24:E26)</f>
        <v>7.6</v>
      </c>
      <c r="F27" s="36">
        <f>392.1-SUM(F24:F26)</f>
        <v>115.9</v>
      </c>
      <c r="G27" s="17">
        <f>C27/C26-1</f>
        <v>0.0036101083032491</v>
      </c>
      <c r="H27" s="17">
        <f>(E27+F27-C27)/C27</f>
        <v>-0.658273381294964</v>
      </c>
      <c r="I27" s="17">
        <f>AVERAGE(H24:H27)</f>
        <v>-0.654033576409537</v>
      </c>
      <c r="J27" s="17"/>
    </row>
    <row r="28" ht="20.05" customHeight="1">
      <c r="B28" s="37">
        <v>2022</v>
      </c>
      <c r="C28" s="35">
        <v>361.2</v>
      </c>
      <c r="D28" s="25">
        <v>372.242</v>
      </c>
      <c r="E28" s="21">
        <f>6.8</f>
        <v>6.8</v>
      </c>
      <c r="F28" s="36">
        <v>125.1</v>
      </c>
      <c r="G28" s="17">
        <f>C28/C27-1</f>
        <v>-0.000553403431101273</v>
      </c>
      <c r="H28" s="17">
        <f>(E28+F28-C28)/C28</f>
        <v>-0.634828349944629</v>
      </c>
      <c r="I28" s="17">
        <f>AVERAGE(H25:H28)</f>
        <v>-0.646736619220417</v>
      </c>
      <c r="J28" s="17">
        <v>-0.658273381294964</v>
      </c>
    </row>
    <row r="29" ht="20.05" customHeight="1">
      <c r="B29" s="34"/>
      <c r="C29" s="35"/>
      <c r="D29" s="25">
        <f>'Model'!C6</f>
        <v>343.14</v>
      </c>
      <c r="E29" s="25"/>
      <c r="F29" s="38"/>
      <c r="G29" s="17"/>
      <c r="H29" s="26"/>
      <c r="I29" s="17"/>
      <c r="J29" s="17">
        <f>'Model'!C7</f>
        <v>-0.646736619220417</v>
      </c>
    </row>
    <row r="30" ht="20.05" customHeight="1">
      <c r="B30" s="34"/>
      <c r="C30" s="35"/>
      <c r="D30" s="25">
        <f>SUM('Model'!D6)</f>
        <v>367.1598</v>
      </c>
      <c r="E30" s="26"/>
      <c r="F30" s="38"/>
      <c r="G30" s="13"/>
      <c r="H30" s="13"/>
      <c r="I30" s="17"/>
      <c r="J30" s="17"/>
    </row>
    <row r="31" ht="20.05" customHeight="1">
      <c r="B31" s="34"/>
      <c r="C31" s="35"/>
      <c r="D31" s="25">
        <f>SUM('Model'!E6)</f>
        <v>378.174594</v>
      </c>
      <c r="E31" s="36">
        <f>SUM(C21:C28)</f>
        <v>2023.33</v>
      </c>
      <c r="F31" s="36">
        <f>SUM(D21:D28)</f>
        <v>1829.0378</v>
      </c>
      <c r="G31" s="26"/>
      <c r="H31" s="26"/>
      <c r="I31" s="38"/>
      <c r="J31" s="38"/>
    </row>
    <row r="32" ht="20.05" customHeight="1">
      <c r="B32" s="37">
        <v>2023</v>
      </c>
      <c r="C32" s="35"/>
      <c r="D32" s="25">
        <f>'Model'!F6</f>
        <v>374.39284806</v>
      </c>
      <c r="E32" s="26"/>
      <c r="F32" s="38"/>
      <c r="G32" s="26"/>
      <c r="H32" s="26"/>
      <c r="I32" s="38"/>
      <c r="J32" s="38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5156" style="39" customWidth="1"/>
    <col min="2" max="2" width="10.0391" style="39" customWidth="1"/>
    <col min="3" max="16" width="11.125" style="39" customWidth="1"/>
    <col min="17" max="16384" width="16.3516" style="39" customWidth="1"/>
  </cols>
  <sheetData>
    <row r="1" ht="15.4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49</v>
      </c>
      <c r="G3" t="s" s="5">
        <v>50</v>
      </c>
      <c r="H3" t="s" s="5">
        <v>11</v>
      </c>
      <c r="I3" t="s" s="5">
        <v>14</v>
      </c>
      <c r="J3" t="s" s="5">
        <v>10</v>
      </c>
      <c r="K3" t="s" s="5">
        <v>51</v>
      </c>
      <c r="L3" t="s" s="5">
        <v>3</v>
      </c>
      <c r="M3" t="s" s="5">
        <v>35</v>
      </c>
      <c r="N3" t="s" s="5">
        <v>30</v>
      </c>
      <c r="O3" t="s" s="5">
        <v>35</v>
      </c>
      <c r="P3" s="40"/>
    </row>
    <row r="4" ht="20.25" customHeight="1">
      <c r="B4" s="29">
        <v>2016</v>
      </c>
      <c r="C4" s="41">
        <v>50.05</v>
      </c>
      <c r="D4" s="31">
        <v>-1.45</v>
      </c>
      <c r="E4" s="31">
        <v>-1.1</v>
      </c>
      <c r="F4" s="31"/>
      <c r="G4" s="31"/>
      <c r="H4" s="31"/>
      <c r="I4" s="31"/>
      <c r="J4" s="31">
        <v>-0.3</v>
      </c>
      <c r="K4" s="31">
        <f>D4+E4</f>
        <v>-2.55</v>
      </c>
      <c r="L4" s="42"/>
      <c r="M4" s="31"/>
      <c r="N4" s="31">
        <f>-J4</f>
        <v>0.3</v>
      </c>
      <c r="O4" s="31"/>
      <c r="P4" s="31">
        <v>1</v>
      </c>
    </row>
    <row r="5" ht="20.05" customHeight="1">
      <c r="B5" s="34"/>
      <c r="C5" s="18">
        <v>50.05</v>
      </c>
      <c r="D5" s="19">
        <v>-1.45</v>
      </c>
      <c r="E5" s="19">
        <v>-1.1</v>
      </c>
      <c r="F5" s="19"/>
      <c r="G5" s="19"/>
      <c r="H5" s="19"/>
      <c r="I5" s="19"/>
      <c r="J5" s="19">
        <v>-0.3</v>
      </c>
      <c r="K5" s="19">
        <f>D5+E5</f>
        <v>-2.55</v>
      </c>
      <c r="L5" s="25"/>
      <c r="M5" s="19"/>
      <c r="N5" s="19">
        <f>-J5+N4</f>
        <v>0.6</v>
      </c>
      <c r="O5" s="19"/>
      <c r="P5" s="19">
        <f>1+P4</f>
        <v>2</v>
      </c>
    </row>
    <row r="6" ht="20.05" customHeight="1">
      <c r="B6" s="34"/>
      <c r="C6" s="18">
        <v>39.4</v>
      </c>
      <c r="D6" s="19">
        <v>-2.4</v>
      </c>
      <c r="E6" s="19">
        <v>-0.9</v>
      </c>
      <c r="F6" s="19"/>
      <c r="G6" s="19"/>
      <c r="H6" s="19"/>
      <c r="I6" s="19"/>
      <c r="J6" s="19">
        <v>-1.7</v>
      </c>
      <c r="K6" s="19">
        <f>D6+E6</f>
        <v>-3.3</v>
      </c>
      <c r="L6" s="25"/>
      <c r="M6" s="19"/>
      <c r="N6" s="19">
        <f>-J6+N5</f>
        <v>2.3</v>
      </c>
      <c r="O6" s="19"/>
      <c r="P6" s="19">
        <f>1+P5</f>
        <v>3</v>
      </c>
    </row>
    <row r="7" ht="20.05" customHeight="1">
      <c r="B7" s="34"/>
      <c r="C7" s="18">
        <v>55.4</v>
      </c>
      <c r="D7" s="19">
        <v>-30.2</v>
      </c>
      <c r="E7" s="19">
        <v>-18</v>
      </c>
      <c r="F7" s="19"/>
      <c r="G7" s="19"/>
      <c r="H7" s="19"/>
      <c r="I7" s="19"/>
      <c r="J7" s="19">
        <v>49</v>
      </c>
      <c r="K7" s="19">
        <f>D7+E7</f>
        <v>-48.2</v>
      </c>
      <c r="L7" s="25"/>
      <c r="M7" s="19"/>
      <c r="N7" s="19">
        <f>-J7+N6</f>
        <v>-46.7</v>
      </c>
      <c r="O7" s="19"/>
      <c r="P7" s="19">
        <f>1+P6</f>
        <v>4</v>
      </c>
    </row>
    <row r="8" ht="20.05" customHeight="1">
      <c r="B8" s="37">
        <v>2017</v>
      </c>
      <c r="C8" s="18">
        <v>46.8</v>
      </c>
      <c r="D8" s="19">
        <v>13.2</v>
      </c>
      <c r="E8" s="19">
        <v>-0.06</v>
      </c>
      <c r="F8" s="19"/>
      <c r="G8" s="19"/>
      <c r="H8" s="19"/>
      <c r="I8" s="19"/>
      <c r="J8" s="19">
        <v>-13.5</v>
      </c>
      <c r="K8" s="19">
        <f>D8+E8</f>
        <v>13.14</v>
      </c>
      <c r="L8" s="21">
        <f>AVERAGE(K5:K8)</f>
        <v>-10.2275</v>
      </c>
      <c r="M8" s="19"/>
      <c r="N8" s="19">
        <f>-J8+N7</f>
        <v>-33.2</v>
      </c>
      <c r="O8" s="19"/>
      <c r="P8" s="19">
        <f>1+P7</f>
        <v>5</v>
      </c>
    </row>
    <row r="9" ht="20.05" customHeight="1">
      <c r="B9" s="34"/>
      <c r="C9" s="18">
        <v>53</v>
      </c>
      <c r="D9" s="19">
        <v>5.2</v>
      </c>
      <c r="E9" s="19">
        <v>-2.94</v>
      </c>
      <c r="F9" s="19"/>
      <c r="G9" s="19"/>
      <c r="H9" s="19"/>
      <c r="I9" s="19"/>
      <c r="J9" s="19">
        <v>-0.4</v>
      </c>
      <c r="K9" s="19">
        <f>D9+E9</f>
        <v>2.26</v>
      </c>
      <c r="L9" s="21">
        <f>AVERAGE(K6:K9)</f>
        <v>-9.025</v>
      </c>
      <c r="M9" s="19"/>
      <c r="N9" s="19">
        <f>-J9+N8</f>
        <v>-32.8</v>
      </c>
      <c r="O9" s="19"/>
      <c r="P9" s="19">
        <f>1+P8</f>
        <v>6</v>
      </c>
    </row>
    <row r="10" ht="20.05" customHeight="1">
      <c r="B10" s="34"/>
      <c r="C10" s="18">
        <v>61.8</v>
      </c>
      <c r="D10" s="19">
        <v>16.3</v>
      </c>
      <c r="E10" s="19">
        <v>-5</v>
      </c>
      <c r="F10" s="19"/>
      <c r="G10" s="19"/>
      <c r="H10" s="19"/>
      <c r="I10" s="19"/>
      <c r="J10" s="19">
        <v>-1.9</v>
      </c>
      <c r="K10" s="19">
        <f>D10+E10</f>
        <v>11.3</v>
      </c>
      <c r="L10" s="21">
        <f>AVERAGE(K7:K10)</f>
        <v>-5.375</v>
      </c>
      <c r="M10" s="19"/>
      <c r="N10" s="19">
        <f>-J10+N9</f>
        <v>-30.9</v>
      </c>
      <c r="O10" s="19"/>
      <c r="P10" s="19">
        <f>1+P9</f>
        <v>7</v>
      </c>
    </row>
    <row r="11" ht="20.05" customHeight="1">
      <c r="B11" s="34"/>
      <c r="C11" s="18">
        <v>63.9</v>
      </c>
      <c r="D11" s="19">
        <v>11.4</v>
      </c>
      <c r="E11" s="19">
        <v>-15.5</v>
      </c>
      <c r="F11" s="19"/>
      <c r="G11" s="19"/>
      <c r="H11" s="19"/>
      <c r="I11" s="19"/>
      <c r="J11" s="19">
        <v>6.2</v>
      </c>
      <c r="K11" s="19">
        <f>D11+E11</f>
        <v>-4.1</v>
      </c>
      <c r="L11" s="21">
        <f>AVERAGE(K8:K11)</f>
        <v>5.65</v>
      </c>
      <c r="M11" s="19"/>
      <c r="N11" s="19">
        <f>-J11+N10</f>
        <v>-37.1</v>
      </c>
      <c r="O11" s="19"/>
      <c r="P11" s="19">
        <f>1+P10</f>
        <v>8</v>
      </c>
    </row>
    <row r="12" ht="20.05" customHeight="1">
      <c r="B12" s="37">
        <v>2018</v>
      </c>
      <c r="C12" s="18">
        <v>67.3</v>
      </c>
      <c r="D12" s="19">
        <v>12.9</v>
      </c>
      <c r="E12" s="19">
        <v>-3.4</v>
      </c>
      <c r="F12" s="19"/>
      <c r="G12" s="19"/>
      <c r="H12" s="19"/>
      <c r="I12" s="19"/>
      <c r="J12" s="19">
        <v>-14.5</v>
      </c>
      <c r="K12" s="19">
        <f>D12+E12</f>
        <v>9.5</v>
      </c>
      <c r="L12" s="21">
        <f>AVERAGE(K9:K12)</f>
        <v>4.74</v>
      </c>
      <c r="M12" s="19"/>
      <c r="N12" s="19">
        <f>-J12+N11</f>
        <v>-22.6</v>
      </c>
      <c r="O12" s="19"/>
      <c r="P12" s="19">
        <f>1+P11</f>
        <v>9</v>
      </c>
    </row>
    <row r="13" ht="20.05" customHeight="1">
      <c r="B13" s="34"/>
      <c r="C13" s="18">
        <v>32.5</v>
      </c>
      <c r="D13" s="19">
        <v>5.5</v>
      </c>
      <c r="E13" s="19">
        <v>0.4</v>
      </c>
      <c r="F13" s="19"/>
      <c r="G13" s="19"/>
      <c r="H13" s="19"/>
      <c r="I13" s="19"/>
      <c r="J13" s="19">
        <v>0.6</v>
      </c>
      <c r="K13" s="19">
        <f>D13+E13</f>
        <v>5.9</v>
      </c>
      <c r="L13" s="21">
        <f>AVERAGE(K10:K13)</f>
        <v>5.65</v>
      </c>
      <c r="M13" s="19"/>
      <c r="N13" s="19">
        <f>-J13+N12</f>
        <v>-23.2</v>
      </c>
      <c r="O13" s="19"/>
      <c r="P13" s="19">
        <f>1+P12</f>
        <v>10</v>
      </c>
    </row>
    <row r="14" ht="20.05" customHeight="1">
      <c r="B14" s="34"/>
      <c r="C14" s="18">
        <v>130.2</v>
      </c>
      <c r="D14" s="19">
        <v>9.6</v>
      </c>
      <c r="E14" s="19">
        <v>-52.1</v>
      </c>
      <c r="F14" s="19"/>
      <c r="G14" s="19"/>
      <c r="H14" s="19"/>
      <c r="I14" s="19"/>
      <c r="J14" s="19">
        <v>32.9</v>
      </c>
      <c r="K14" s="19">
        <f>D14+E14</f>
        <v>-42.5</v>
      </c>
      <c r="L14" s="21">
        <f>AVERAGE(K11:K14)</f>
        <v>-7.8</v>
      </c>
      <c r="M14" s="19"/>
      <c r="N14" s="19">
        <f>-J14+N13</f>
        <v>-56.1</v>
      </c>
      <c r="O14" s="19"/>
      <c r="P14" s="19">
        <f>1+P13</f>
        <v>11</v>
      </c>
    </row>
    <row r="15" ht="20.05" customHeight="1">
      <c r="B15" s="34"/>
      <c r="C15" s="18">
        <v>88.7</v>
      </c>
      <c r="D15" s="19">
        <v>22.9</v>
      </c>
      <c r="E15" s="19">
        <v>-15.1</v>
      </c>
      <c r="F15" s="19"/>
      <c r="G15" s="19"/>
      <c r="H15" s="19"/>
      <c r="I15" s="19"/>
      <c r="J15" s="19">
        <v>-12.2</v>
      </c>
      <c r="K15" s="19">
        <f>D15+E15</f>
        <v>7.8</v>
      </c>
      <c r="L15" s="21">
        <f>AVERAGE(K12:K15)</f>
        <v>-4.825</v>
      </c>
      <c r="M15" s="19"/>
      <c r="N15" s="19">
        <f>-J15+N14</f>
        <v>-43.9</v>
      </c>
      <c r="O15" s="19"/>
      <c r="P15" s="19">
        <f>1+P14</f>
        <v>12</v>
      </c>
    </row>
    <row r="16" ht="20.05" customHeight="1">
      <c r="B16" s="37">
        <v>2019</v>
      </c>
      <c r="C16" s="18">
        <v>79.59999999999999</v>
      </c>
      <c r="D16" s="19">
        <v>8.1</v>
      </c>
      <c r="E16" s="19">
        <v>-19.5</v>
      </c>
      <c r="F16" s="19"/>
      <c r="G16" s="19"/>
      <c r="H16" s="19"/>
      <c r="I16" s="19"/>
      <c r="J16" s="19">
        <v>24.2</v>
      </c>
      <c r="K16" s="19">
        <f>D16+E16</f>
        <v>-11.4</v>
      </c>
      <c r="L16" s="21">
        <f>AVERAGE(K13:K16)</f>
        <v>-10.05</v>
      </c>
      <c r="M16" s="19"/>
      <c r="N16" s="19">
        <f>-J16+N15</f>
        <v>-68.09999999999999</v>
      </c>
      <c r="O16" s="19"/>
      <c r="P16" s="19">
        <f>1+P15</f>
        <v>13</v>
      </c>
    </row>
    <row r="17" ht="20.05" customHeight="1">
      <c r="B17" s="34"/>
      <c r="C17" s="18">
        <v>76.59999999999999</v>
      </c>
      <c r="D17" s="19">
        <v>-23.7</v>
      </c>
      <c r="E17" s="19">
        <v>15.5</v>
      </c>
      <c r="F17" s="19"/>
      <c r="G17" s="19"/>
      <c r="H17" s="19"/>
      <c r="I17" s="19"/>
      <c r="J17" s="19">
        <v>-19.4</v>
      </c>
      <c r="K17" s="19">
        <f>D17+E17</f>
        <v>-8.199999999999999</v>
      </c>
      <c r="L17" s="21">
        <f>AVERAGE(K14:K17)</f>
        <v>-13.575</v>
      </c>
      <c r="M17" s="19"/>
      <c r="N17" s="19">
        <f>-J17+N16</f>
        <v>-48.7</v>
      </c>
      <c r="O17" s="19"/>
      <c r="P17" s="19">
        <f>1+P16</f>
        <v>14</v>
      </c>
    </row>
    <row r="18" ht="20.05" customHeight="1">
      <c r="B18" s="34"/>
      <c r="C18" s="18">
        <v>106.5</v>
      </c>
      <c r="D18" s="19">
        <v>30.4</v>
      </c>
      <c r="E18" s="19">
        <v>-47</v>
      </c>
      <c r="F18" s="19"/>
      <c r="G18" s="19"/>
      <c r="H18" s="19"/>
      <c r="I18" s="19"/>
      <c r="J18" s="19">
        <v>36.1</v>
      </c>
      <c r="K18" s="19">
        <f>D18+E18</f>
        <v>-16.6</v>
      </c>
      <c r="L18" s="21">
        <f>AVERAGE(K15:K18)</f>
        <v>-7.1</v>
      </c>
      <c r="M18" s="19"/>
      <c r="N18" s="19">
        <f>-J18+N17</f>
        <v>-84.8</v>
      </c>
      <c r="O18" s="19"/>
      <c r="P18" s="19">
        <f>1+P17</f>
        <v>15</v>
      </c>
    </row>
    <row r="19" ht="20.05" customHeight="1">
      <c r="B19" s="34"/>
      <c r="C19" s="18">
        <v>94.3</v>
      </c>
      <c r="D19" s="19">
        <v>33</v>
      </c>
      <c r="E19" s="19">
        <f>-64.75-SUM(E16:E18)</f>
        <v>-13.75</v>
      </c>
      <c r="F19" s="19"/>
      <c r="G19" s="19"/>
      <c r="H19" s="19"/>
      <c r="I19" s="19"/>
      <c r="J19" s="19">
        <f>39.22-SUM(J16:J18)</f>
        <v>-1.68</v>
      </c>
      <c r="K19" s="19">
        <f>D19+E19</f>
        <v>19.25</v>
      </c>
      <c r="L19" s="21">
        <f>AVERAGE(K16:K19)</f>
        <v>-4.2375</v>
      </c>
      <c r="M19" s="19"/>
      <c r="N19" s="19">
        <f>-J19+N18</f>
        <v>-83.12</v>
      </c>
      <c r="O19" s="19"/>
      <c r="P19" s="19">
        <f>1+P18</f>
        <v>16</v>
      </c>
    </row>
    <row r="20" ht="20.05" customHeight="1">
      <c r="B20" s="37">
        <v>2020</v>
      </c>
      <c r="C20" s="18">
        <v>70.3</v>
      </c>
      <c r="D20" s="19">
        <v>2.3</v>
      </c>
      <c r="E20" s="19">
        <v>-9.300000000000001</v>
      </c>
      <c r="F20" s="19">
        <v>0</v>
      </c>
      <c r="G20" s="19">
        <v>0</v>
      </c>
      <c r="H20" s="21">
        <f>J20-I20-G20-F20</f>
        <v>14.7</v>
      </c>
      <c r="I20" s="19">
        <v>0</v>
      </c>
      <c r="J20" s="19">
        <v>14.7</v>
      </c>
      <c r="K20" s="19">
        <f>D20+E20</f>
        <v>-7</v>
      </c>
      <c r="L20" s="21">
        <f>AVERAGE(K17:K20)</f>
        <v>-3.1375</v>
      </c>
      <c r="M20" s="19"/>
      <c r="N20" s="19">
        <f>-J20+N19</f>
        <v>-97.81999999999999</v>
      </c>
      <c r="O20" s="19"/>
      <c r="P20" s="19">
        <f>1+P19</f>
        <v>17</v>
      </c>
    </row>
    <row r="21" ht="20.05" customHeight="1">
      <c r="B21" s="34"/>
      <c r="C21" s="18">
        <v>132.1</v>
      </c>
      <c r="D21" s="19">
        <v>55.5</v>
      </c>
      <c r="E21" s="19">
        <v>-20.3</v>
      </c>
      <c r="F21" s="19">
        <v>0</v>
      </c>
      <c r="G21" s="19">
        <v>0</v>
      </c>
      <c r="H21" s="21">
        <f>J21-I21-G21-F21</f>
        <v>-36.4</v>
      </c>
      <c r="I21" s="19">
        <f>-7-I20</f>
        <v>-7</v>
      </c>
      <c r="J21" s="19">
        <v>-43.4</v>
      </c>
      <c r="K21" s="19">
        <f>D21+E21</f>
        <v>35.2</v>
      </c>
      <c r="L21" s="21">
        <f>AVERAGE(K18:K21)</f>
        <v>7.7125</v>
      </c>
      <c r="M21" s="19"/>
      <c r="N21" s="19">
        <f>-J21+N20</f>
        <v>-54.42</v>
      </c>
      <c r="O21" s="19"/>
      <c r="P21" s="19">
        <f>1+P20</f>
        <v>18</v>
      </c>
    </row>
    <row r="22" ht="20.05" customHeight="1">
      <c r="B22" s="34"/>
      <c r="C22" s="18">
        <f>364.3-SUM(C20:C21)</f>
        <v>161.9</v>
      </c>
      <c r="D22" s="19">
        <f>92-SUM(D20:D21)</f>
        <v>34.2</v>
      </c>
      <c r="E22" s="19">
        <f>-66.5-SUM(E20:E21)</f>
        <v>-36.9</v>
      </c>
      <c r="F22" s="19">
        <f>0.2-SUM(F20:F21)</f>
        <v>0.2</v>
      </c>
      <c r="G22" s="19">
        <v>0</v>
      </c>
      <c r="H22" s="21">
        <f>J22-I22-G22-F22</f>
        <v>21.4</v>
      </c>
      <c r="I22" s="19">
        <f>-26.6-7.7-SUM(I20:I21)</f>
        <v>-27.3</v>
      </c>
      <c r="J22" s="19">
        <f>-34.4-SUM(J20:J21)</f>
        <v>-5.7</v>
      </c>
      <c r="K22" s="19">
        <f>D22+E22</f>
        <v>-2.7</v>
      </c>
      <c r="L22" s="21">
        <f>AVERAGE(K19:K22)</f>
        <v>11.1875</v>
      </c>
      <c r="M22" s="19"/>
      <c r="N22" s="19">
        <f>-J22+N21</f>
        <v>-48.72</v>
      </c>
      <c r="O22" s="19"/>
      <c r="P22" s="19">
        <f>1+P21</f>
        <v>19</v>
      </c>
    </row>
    <row r="23" ht="20.05" customHeight="1">
      <c r="B23" s="34"/>
      <c r="C23" s="18">
        <f>593.97-SUM(C20:C22)</f>
        <v>229.67</v>
      </c>
      <c r="D23" s="19">
        <f>218.9-SUM(D20:D22)</f>
        <v>126.9</v>
      </c>
      <c r="E23" s="19">
        <f>-152.15-SUM(E20:E22)</f>
        <v>-85.65000000000001</v>
      </c>
      <c r="F23" s="19">
        <f>-0.9-SUM(F20:F22)</f>
        <v>-1.1</v>
      </c>
      <c r="G23" s="19">
        <f>-4.3-SUM(G20:G22)</f>
        <v>-4.3</v>
      </c>
      <c r="H23" s="21">
        <f>J23-I23-G23-F23</f>
        <v>48.213</v>
      </c>
      <c r="I23" s="19">
        <f>-26.6-71.2-SUM(I20:I22)</f>
        <v>-63.5</v>
      </c>
      <c r="J23" s="19">
        <f>-55.087-SUM(J20:J22)</f>
        <v>-20.687</v>
      </c>
      <c r="K23" s="19">
        <f>D23+E23</f>
        <v>41.25</v>
      </c>
      <c r="L23" s="21">
        <f>AVERAGE(K20:K23)</f>
        <v>16.6875</v>
      </c>
      <c r="M23" s="19"/>
      <c r="N23" s="19">
        <f>-J23+N22</f>
        <v>-28.033</v>
      </c>
      <c r="O23" s="19"/>
      <c r="P23" s="19">
        <f>1+P22</f>
        <v>20</v>
      </c>
    </row>
    <row r="24" ht="20.05" customHeight="1">
      <c r="B24" s="37">
        <v>2021</v>
      </c>
      <c r="C24" s="20">
        <v>191.48</v>
      </c>
      <c r="D24" s="21">
        <v>17.73</v>
      </c>
      <c r="E24" s="21">
        <v>-24.8</v>
      </c>
      <c r="F24" s="21">
        <v>-0.02</v>
      </c>
      <c r="G24" s="21">
        <v>0</v>
      </c>
      <c r="H24" s="21">
        <f>J24-I24-G24-F24</f>
        <v>9.02</v>
      </c>
      <c r="I24" s="19">
        <v>0</v>
      </c>
      <c r="J24" s="19">
        <v>9</v>
      </c>
      <c r="K24" s="21">
        <f>D24+E24</f>
        <v>-7.07</v>
      </c>
      <c r="L24" s="21">
        <f>AVERAGE(K21:K24)</f>
        <v>16.67</v>
      </c>
      <c r="M24" s="19"/>
      <c r="N24" s="19">
        <f>-J24+N23</f>
        <v>-37.033</v>
      </c>
      <c r="O24" s="19"/>
      <c r="P24" s="19">
        <f>1+P23</f>
        <v>21</v>
      </c>
    </row>
    <row r="25" ht="20.05" customHeight="1">
      <c r="B25" s="34"/>
      <c r="C25" s="20">
        <v>227.52</v>
      </c>
      <c r="D25" s="21">
        <v>58.27</v>
      </c>
      <c r="E25" s="21">
        <v>-67.2</v>
      </c>
      <c r="F25" s="21">
        <f>1.5-F24</f>
        <v>1.52</v>
      </c>
      <c r="G25" s="21">
        <v>0</v>
      </c>
      <c r="H25" s="21">
        <f>J25-I25-G25-F25</f>
        <v>72.48</v>
      </c>
      <c r="I25" s="21">
        <f>-57-I24</f>
        <v>-57</v>
      </c>
      <c r="J25" s="21">
        <v>17</v>
      </c>
      <c r="K25" s="21">
        <f>D25+E25</f>
        <v>-8.93</v>
      </c>
      <c r="L25" s="21">
        <f>AVERAGE(K22:K25)</f>
        <v>5.6375</v>
      </c>
      <c r="M25" s="19"/>
      <c r="N25" s="19">
        <f>-J25+N24</f>
        <v>-54.033</v>
      </c>
      <c r="O25" s="19"/>
      <c r="P25" s="19">
        <f>1+P24</f>
        <v>22</v>
      </c>
    </row>
    <row r="26" ht="20.05" customHeight="1">
      <c r="B26" s="34"/>
      <c r="C26" s="20">
        <f>716.4-SUM(C24:C25)</f>
        <v>297.4</v>
      </c>
      <c r="D26" s="21">
        <f>179.4-SUM(D24:D25)</f>
        <v>103.4</v>
      </c>
      <c r="E26" s="21">
        <f>-126.9-SUM(E24:E25)</f>
        <v>-34.9</v>
      </c>
      <c r="F26" s="21">
        <f>0.8-SUM(F24:F25)</f>
        <v>-0.7</v>
      </c>
      <c r="G26" s="21">
        <f>-5.2-SUM(G24:G25)</f>
        <v>-5.2</v>
      </c>
      <c r="H26" s="21">
        <f>J26-I26-G26-F26</f>
        <v>-60.2</v>
      </c>
      <c r="I26" s="21">
        <f>-57-SUM(I24:I25)</f>
        <v>0</v>
      </c>
      <c r="J26" s="21">
        <f>-40.1-SUM(J24:J25)</f>
        <v>-66.09999999999999</v>
      </c>
      <c r="K26" s="21">
        <f>D26+E26</f>
        <v>68.5</v>
      </c>
      <c r="L26" s="21">
        <f>AVERAGE(K23:K26)</f>
        <v>23.4375</v>
      </c>
      <c r="M26" s="19"/>
      <c r="N26" s="19">
        <f>-J26+N25</f>
        <v>12.067</v>
      </c>
      <c r="O26" s="19"/>
      <c r="P26" s="19">
        <f>1+P25</f>
        <v>23</v>
      </c>
    </row>
    <row r="27" ht="20.05" customHeight="1">
      <c r="B27" s="34"/>
      <c r="C27" s="20">
        <f>1073.9-SUM(C24:C26)</f>
        <v>357.5</v>
      </c>
      <c r="D27" s="21">
        <f>331.7-SUM(D24:D26)</f>
        <v>152.3</v>
      </c>
      <c r="E27" s="21">
        <f>-175.5-SUM(E24:E26)</f>
        <v>-48.6</v>
      </c>
      <c r="F27" s="21">
        <f>-0.5-SUM(F24:F26)</f>
        <v>-1.3</v>
      </c>
      <c r="G27" s="21">
        <f>-6.3-SUM(G24:G26)</f>
        <v>-1.1</v>
      </c>
      <c r="H27" s="21">
        <f>J27-I27-G27-F27</f>
        <v>-49.1</v>
      </c>
      <c r="I27" s="21">
        <f>-57-SUM(I24:I26)</f>
        <v>0</v>
      </c>
      <c r="J27" s="21">
        <f>-91.6-SUM(J24:J26)</f>
        <v>-51.5</v>
      </c>
      <c r="K27" s="21">
        <f>D27+E27</f>
        <v>103.7</v>
      </c>
      <c r="L27" s="21">
        <f>AVERAGE(K24:K27)</f>
        <v>39.05</v>
      </c>
      <c r="M27" s="19"/>
      <c r="N27" s="19">
        <f>-J27+N26</f>
        <v>63.567</v>
      </c>
      <c r="O27" s="19"/>
      <c r="P27" s="19">
        <f>1+P26</f>
        <v>24</v>
      </c>
    </row>
    <row r="28" ht="20.05" customHeight="1">
      <c r="B28" s="37">
        <v>2022</v>
      </c>
      <c r="C28" s="20">
        <v>255.5</v>
      </c>
      <c r="D28" s="21">
        <v>-26</v>
      </c>
      <c r="E28" s="21">
        <v>-13.3</v>
      </c>
      <c r="F28" s="21">
        <v>-0.2</v>
      </c>
      <c r="G28" s="21">
        <v>-0.9</v>
      </c>
      <c r="H28" s="21">
        <f>J28-I28-G28-F28</f>
        <v>-6.1</v>
      </c>
      <c r="I28" s="21">
        <v>0</v>
      </c>
      <c r="J28" s="21">
        <v>-7.2</v>
      </c>
      <c r="K28" s="21">
        <f>D28+E28</f>
        <v>-39.3</v>
      </c>
      <c r="L28" s="21">
        <f>AVERAGE(K25:K28)</f>
        <v>30.9925</v>
      </c>
      <c r="M28" s="19">
        <v>92.994556805</v>
      </c>
      <c r="N28" s="19">
        <f>-J28+N27</f>
        <v>70.767</v>
      </c>
      <c r="O28" s="19">
        <v>381.6809314025</v>
      </c>
      <c r="P28" s="19">
        <f>1+P27</f>
        <v>25</v>
      </c>
    </row>
    <row r="29" ht="20.05" customHeight="1"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6"/>
      <c r="M29" s="21">
        <f>SUM('Model'!F9:F10)</f>
        <v>83.659283245372</v>
      </c>
      <c r="N29" s="26"/>
      <c r="O29" s="19">
        <f>'Model'!F33</f>
        <v>373.987870030910</v>
      </c>
      <c r="P29" s="19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4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09375" style="43" customWidth="1"/>
    <col min="2" max="2" width="6.71094" style="43" customWidth="1"/>
    <col min="3" max="11" width="9.75" style="43" customWidth="1"/>
    <col min="12" max="16384" width="16.3516" style="43" customWidth="1"/>
  </cols>
  <sheetData>
    <row r="1" ht="27.65" customHeight="1">
      <c r="B1" t="s" s="2">
        <v>22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1</v>
      </c>
      <c r="C2" t="s" s="5">
        <v>52</v>
      </c>
      <c r="D2" t="s" s="5">
        <v>53</v>
      </c>
      <c r="E2" t="s" s="5">
        <v>23</v>
      </c>
      <c r="F2" t="s" s="5">
        <v>24</v>
      </c>
      <c r="G2" t="s" s="5">
        <v>11</v>
      </c>
      <c r="H2" t="s" s="5">
        <v>26</v>
      </c>
      <c r="I2" t="s" s="5">
        <v>27</v>
      </c>
      <c r="J2" t="s" s="5">
        <v>28</v>
      </c>
      <c r="K2" t="s" s="5">
        <v>35</v>
      </c>
    </row>
    <row r="3" ht="20.25" customHeight="1">
      <c r="B3" s="29">
        <v>2017</v>
      </c>
      <c r="C3" s="44"/>
      <c r="D3" s="45"/>
      <c r="E3" s="31">
        <f>D3-C3</f>
        <v>0</v>
      </c>
      <c r="F3" s="45"/>
      <c r="G3" s="31"/>
      <c r="H3" s="31"/>
      <c r="I3" s="31"/>
      <c r="J3" s="31"/>
      <c r="K3" s="31"/>
    </row>
    <row r="4" ht="20.05" customHeight="1">
      <c r="B4" s="34"/>
      <c r="C4" s="20">
        <v>6</v>
      </c>
      <c r="D4" s="21">
        <v>182</v>
      </c>
      <c r="E4" s="19">
        <f>D4-C4</f>
        <v>176</v>
      </c>
      <c r="F4" s="21">
        <v>34.9</v>
      </c>
      <c r="G4" s="19">
        <v>86</v>
      </c>
      <c r="H4" s="19">
        <v>96</v>
      </c>
      <c r="I4" s="19">
        <f>G4+H4-C4-E4</f>
        <v>0</v>
      </c>
      <c r="J4" s="19">
        <f>C4-G4</f>
        <v>-80</v>
      </c>
      <c r="K4" s="19"/>
    </row>
    <row r="5" ht="20.05" customHeight="1">
      <c r="B5" s="34"/>
      <c r="C5" s="20">
        <v>16</v>
      </c>
      <c r="D5" s="21">
        <v>205</v>
      </c>
      <c r="E5" s="19">
        <f>D5-C5</f>
        <v>189</v>
      </c>
      <c r="F5" s="21">
        <v>36.8</v>
      </c>
      <c r="G5" s="19">
        <v>55</v>
      </c>
      <c r="H5" s="19">
        <v>150</v>
      </c>
      <c r="I5" s="19">
        <f>G5+H5-C5-E5</f>
        <v>0</v>
      </c>
      <c r="J5" s="19">
        <f>C5-G5</f>
        <v>-39</v>
      </c>
      <c r="K5" s="19"/>
    </row>
    <row r="6" ht="20.05" customHeight="1">
      <c r="B6" s="34"/>
      <c r="C6" s="20">
        <v>18</v>
      </c>
      <c r="D6" s="21">
        <v>228</v>
      </c>
      <c r="E6" s="19">
        <f>D6-C6</f>
        <v>210</v>
      </c>
      <c r="F6" s="21">
        <v>38.9</v>
      </c>
      <c r="G6" s="19">
        <v>61</v>
      </c>
      <c r="H6" s="19">
        <v>167</v>
      </c>
      <c r="I6" s="19">
        <f>G6+H6-C6-E6</f>
        <v>0</v>
      </c>
      <c r="J6" s="19">
        <f>C6-G6</f>
        <v>-43</v>
      </c>
      <c r="K6" s="19"/>
    </row>
    <row r="7" ht="20.05" customHeight="1">
      <c r="B7" s="37">
        <v>2018</v>
      </c>
      <c r="C7" s="20">
        <v>13</v>
      </c>
      <c r="D7" s="21">
        <v>241</v>
      </c>
      <c r="E7" s="19">
        <f>D7-C7</f>
        <v>228</v>
      </c>
      <c r="F7" s="21">
        <v>41</v>
      </c>
      <c r="G7" s="19">
        <v>56</v>
      </c>
      <c r="H7" s="19">
        <v>185</v>
      </c>
      <c r="I7" s="19">
        <f>G7+H7-C7-E7</f>
        <v>0</v>
      </c>
      <c r="J7" s="19">
        <f>C7-G7</f>
        <v>-43</v>
      </c>
      <c r="K7" s="19"/>
    </row>
    <row r="8" ht="20.05" customHeight="1">
      <c r="B8" s="34"/>
      <c r="C8" s="20">
        <v>3</v>
      </c>
      <c r="D8" s="21">
        <v>272</v>
      </c>
      <c r="E8" s="19">
        <f>D8-C8</f>
        <v>269</v>
      </c>
      <c r="F8" s="21">
        <v>43.2</v>
      </c>
      <c r="G8" s="19">
        <v>80</v>
      </c>
      <c r="H8" s="19">
        <v>192</v>
      </c>
      <c r="I8" s="19">
        <f>G8+H8-C8-E8</f>
        <v>0</v>
      </c>
      <c r="J8" s="19">
        <f>C8-G8</f>
        <v>-77</v>
      </c>
      <c r="K8" s="19"/>
    </row>
    <row r="9" ht="20.05" customHeight="1">
      <c r="B9" s="34"/>
      <c r="C9" s="20">
        <v>10</v>
      </c>
      <c r="D9" s="21">
        <v>303</v>
      </c>
      <c r="E9" s="19">
        <f>D9-C9</f>
        <v>293</v>
      </c>
      <c r="F9" s="21"/>
      <c r="G9" s="19">
        <v>89</v>
      </c>
      <c r="H9" s="19">
        <v>214</v>
      </c>
      <c r="I9" s="19">
        <f>G9+H9-C9-E9</f>
        <v>0</v>
      </c>
      <c r="J9" s="19">
        <f>C9-G9</f>
        <v>-79</v>
      </c>
      <c r="K9" s="19"/>
    </row>
    <row r="10" ht="20.05" customHeight="1">
      <c r="B10" s="34"/>
      <c r="C10" s="20">
        <v>5</v>
      </c>
      <c r="D10" s="21">
        <v>318</v>
      </c>
      <c r="E10" s="19">
        <f>D10-C10</f>
        <v>313</v>
      </c>
      <c r="F10" s="21">
        <v>47.6</v>
      </c>
      <c r="G10" s="19">
        <v>80</v>
      </c>
      <c r="H10" s="19">
        <v>238</v>
      </c>
      <c r="I10" s="19">
        <f>G10+H10-C10-E10</f>
        <v>0</v>
      </c>
      <c r="J10" s="19">
        <f>C10-G10</f>
        <v>-75</v>
      </c>
      <c r="K10" s="19"/>
    </row>
    <row r="11" ht="20.05" customHeight="1">
      <c r="B11" s="37">
        <v>2019</v>
      </c>
      <c r="C11" s="20">
        <v>18</v>
      </c>
      <c r="D11" s="21">
        <v>380</v>
      </c>
      <c r="E11" s="19">
        <f>D11-C11</f>
        <v>362</v>
      </c>
      <c r="F11" s="21">
        <v>49.9</v>
      </c>
      <c r="G11" s="19">
        <v>119</v>
      </c>
      <c r="H11" s="19">
        <v>261</v>
      </c>
      <c r="I11" s="19">
        <f>G11+H11-C11-E11</f>
        <v>0</v>
      </c>
      <c r="J11" s="19">
        <f>C11-G11</f>
        <v>-101</v>
      </c>
      <c r="K11" s="19"/>
    </row>
    <row r="12" ht="20.05" customHeight="1">
      <c r="B12" s="34"/>
      <c r="C12" s="20">
        <v>10</v>
      </c>
      <c r="D12" s="21">
        <v>409</v>
      </c>
      <c r="E12" s="19">
        <f>D12-C12</f>
        <v>399</v>
      </c>
      <c r="F12" s="21">
        <v>52.1</v>
      </c>
      <c r="G12" s="19">
        <v>153</v>
      </c>
      <c r="H12" s="19">
        <v>256</v>
      </c>
      <c r="I12" s="19">
        <f>G12+H12-C12-E12</f>
        <v>0</v>
      </c>
      <c r="J12" s="19">
        <f>C12-G12</f>
        <v>-143</v>
      </c>
      <c r="K12" s="19"/>
    </row>
    <row r="13" ht="20.05" customHeight="1">
      <c r="B13" s="34"/>
      <c r="C13" s="20">
        <v>10</v>
      </c>
      <c r="D13" s="21">
        <v>433</v>
      </c>
      <c r="E13" s="19">
        <f>D13-C13</f>
        <v>423</v>
      </c>
      <c r="F13" s="21">
        <v>54.3</v>
      </c>
      <c r="G13" s="19">
        <v>156</v>
      </c>
      <c r="H13" s="19">
        <v>277</v>
      </c>
      <c r="I13" s="19">
        <f>G13+H13-C13-E13</f>
        <v>0</v>
      </c>
      <c r="J13" s="19">
        <f>C13-G13</f>
        <v>-146</v>
      </c>
      <c r="K13" s="19"/>
    </row>
    <row r="14" ht="20.05" customHeight="1">
      <c r="B14" s="34"/>
      <c r="C14" s="18">
        <v>28</v>
      </c>
      <c r="D14" s="19">
        <v>441</v>
      </c>
      <c r="E14" s="19">
        <f>D14-C14</f>
        <v>413</v>
      </c>
      <c r="F14" s="19">
        <v>57.3</v>
      </c>
      <c r="G14" s="19">
        <v>142.3</v>
      </c>
      <c r="H14" s="19">
        <v>299</v>
      </c>
      <c r="I14" s="19">
        <f>G14+H14-C14-E14</f>
        <v>0.3</v>
      </c>
      <c r="J14" s="19">
        <f>C14-G14</f>
        <v>-114.3</v>
      </c>
      <c r="K14" s="19"/>
    </row>
    <row r="15" ht="20.05" customHeight="1">
      <c r="B15" s="37">
        <v>2020</v>
      </c>
      <c r="C15" s="18">
        <v>35.7</v>
      </c>
      <c r="D15" s="19">
        <v>489.5</v>
      </c>
      <c r="E15" s="19">
        <f>D15-C15</f>
        <v>453.8</v>
      </c>
      <c r="F15" s="19">
        <v>60.5</v>
      </c>
      <c r="G15" s="19">
        <v>167.2</v>
      </c>
      <c r="H15" s="19">
        <v>322.3</v>
      </c>
      <c r="I15" s="19">
        <f>G15+H15-C15-E15</f>
        <v>0</v>
      </c>
      <c r="J15" s="19">
        <f>C15-G15</f>
        <v>-131.5</v>
      </c>
      <c r="K15" s="25"/>
    </row>
    <row r="16" ht="20.05" customHeight="1">
      <c r="B16" s="34"/>
      <c r="C16" s="20">
        <v>27.5</v>
      </c>
      <c r="D16" s="21">
        <v>486</v>
      </c>
      <c r="E16" s="19">
        <f>D16-C16</f>
        <v>458.5</v>
      </c>
      <c r="F16" s="21">
        <v>62.5</v>
      </c>
      <c r="G16" s="19">
        <v>141</v>
      </c>
      <c r="H16" s="19">
        <v>344</v>
      </c>
      <c r="I16" s="19">
        <f>G16+H16-C16-E16</f>
        <v>-1</v>
      </c>
      <c r="J16" s="19">
        <f>C16-G16</f>
        <v>-113.5</v>
      </c>
      <c r="K16" s="25"/>
    </row>
    <row r="17" ht="20.05" customHeight="1">
      <c r="B17" s="34"/>
      <c r="C17" s="24">
        <v>19</v>
      </c>
      <c r="D17" s="19">
        <v>604</v>
      </c>
      <c r="E17" s="19">
        <f>D17-C17</f>
        <v>585</v>
      </c>
      <c r="F17" s="21">
        <v>66.2</v>
      </c>
      <c r="G17" s="19">
        <v>248</v>
      </c>
      <c r="H17" s="19">
        <v>356</v>
      </c>
      <c r="I17" s="19">
        <f>G17+H17-C17-E17</f>
        <v>0</v>
      </c>
      <c r="J17" s="19">
        <f>C17-G17</f>
        <v>-229</v>
      </c>
      <c r="K17" s="19"/>
    </row>
    <row r="18" ht="20.05" customHeight="1">
      <c r="B18" s="34"/>
      <c r="C18" s="24">
        <v>40</v>
      </c>
      <c r="D18" s="19">
        <v>720</v>
      </c>
      <c r="E18" s="19">
        <f>D18-C18</f>
        <v>680</v>
      </c>
      <c r="F18" s="25">
        <v>94</v>
      </c>
      <c r="G18" s="19">
        <v>310</v>
      </c>
      <c r="H18" s="19">
        <v>410</v>
      </c>
      <c r="I18" s="19">
        <f>G18+H18-C18-E18</f>
        <v>0</v>
      </c>
      <c r="J18" s="19">
        <f>C18-G18</f>
        <v>-270</v>
      </c>
      <c r="K18" s="19"/>
    </row>
    <row r="19" ht="20.05" customHeight="1">
      <c r="B19" s="37">
        <v>2021</v>
      </c>
      <c r="C19" s="18">
        <v>41.89</v>
      </c>
      <c r="D19" s="19">
        <v>833.96</v>
      </c>
      <c r="E19" s="19">
        <f>D19-C19</f>
        <v>792.0700000000001</v>
      </c>
      <c r="F19" s="25">
        <f>79</f>
        <v>79</v>
      </c>
      <c r="G19" s="19">
        <v>355.14</v>
      </c>
      <c r="H19" s="19">
        <v>478.8</v>
      </c>
      <c r="I19" s="19">
        <f>G19+H19-C19-E19</f>
        <v>-0.02</v>
      </c>
      <c r="J19" s="19">
        <f>C19-G19</f>
        <v>-313.25</v>
      </c>
      <c r="K19" s="19"/>
    </row>
    <row r="20" ht="20.05" customHeight="1">
      <c r="B20" s="34"/>
      <c r="C20" s="18">
        <v>40</v>
      </c>
      <c r="D20" s="19">
        <v>971</v>
      </c>
      <c r="E20" s="19">
        <f>D20-C20</f>
        <v>931</v>
      </c>
      <c r="F20" s="21">
        <f>F19+'Sales'!E25</f>
        <v>83.5</v>
      </c>
      <c r="G20" s="19">
        <v>463</v>
      </c>
      <c r="H20" s="19">
        <v>508</v>
      </c>
      <c r="I20" s="19">
        <f>G20+H20-C20-E20</f>
        <v>0</v>
      </c>
      <c r="J20" s="19">
        <f>C20-G20</f>
        <v>-423</v>
      </c>
      <c r="K20" s="19"/>
    </row>
    <row r="21" ht="20.05" customHeight="1">
      <c r="B21" s="34"/>
      <c r="C21" s="18">
        <v>52</v>
      </c>
      <c r="D21" s="19">
        <v>1048</v>
      </c>
      <c r="E21" s="19">
        <f>D21-C21</f>
        <v>996</v>
      </c>
      <c r="F21" s="25">
        <v>86</v>
      </c>
      <c r="G21" s="19">
        <v>419</v>
      </c>
      <c r="H21" s="19">
        <v>629</v>
      </c>
      <c r="I21" s="19">
        <f>G21+H21-C21-E21</f>
        <v>0</v>
      </c>
      <c r="J21" s="19">
        <f>C21-G21</f>
        <v>-367</v>
      </c>
      <c r="K21" s="19"/>
    </row>
    <row r="22" ht="20.05" customHeight="1">
      <c r="B22" s="34"/>
      <c r="C22" s="18">
        <v>104</v>
      </c>
      <c r="D22" s="19">
        <v>1078</v>
      </c>
      <c r="E22" s="19">
        <f>D22-C22</f>
        <v>974</v>
      </c>
      <c r="F22" s="25">
        <v>96</v>
      </c>
      <c r="G22" s="19">
        <v>335</v>
      </c>
      <c r="H22" s="19">
        <v>743</v>
      </c>
      <c r="I22" s="19">
        <f>G22+H22-C22-E22</f>
        <v>0</v>
      </c>
      <c r="J22" s="19">
        <f>C22-G22</f>
        <v>-231</v>
      </c>
      <c r="K22" s="19"/>
    </row>
    <row r="23" ht="20.05" customHeight="1">
      <c r="B23" s="37">
        <v>2022</v>
      </c>
      <c r="C23" s="18">
        <v>58</v>
      </c>
      <c r="D23" s="19">
        <v>1178</v>
      </c>
      <c r="E23" s="19">
        <f>D23-C23</f>
        <v>1120</v>
      </c>
      <c r="F23" s="19">
        <v>101.5</v>
      </c>
      <c r="G23" s="19">
        <v>309</v>
      </c>
      <c r="H23" s="19">
        <v>869</v>
      </c>
      <c r="I23" s="19">
        <f>G23+H23-C23-E23</f>
        <v>0</v>
      </c>
      <c r="J23" s="19">
        <f>C23-G23</f>
        <v>-251</v>
      </c>
      <c r="K23" s="19">
        <v>-146.6264748475</v>
      </c>
    </row>
    <row r="24" ht="20.05" customHeight="1">
      <c r="B24" s="34"/>
      <c r="C24" s="18"/>
      <c r="D24" s="19"/>
      <c r="E24" s="19"/>
      <c r="F24" s="25"/>
      <c r="G24" s="19"/>
      <c r="H24" s="19"/>
      <c r="I24" s="19"/>
      <c r="J24" s="19"/>
      <c r="K24" s="19">
        <f>'Model'!F31</f>
        <v>-173.411286219090</v>
      </c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0469" style="46" customWidth="1"/>
    <col min="2" max="2" width="6.5" style="46" customWidth="1"/>
    <col min="3" max="5" width="10" style="46" customWidth="1"/>
    <col min="6" max="16384" width="16.3516" style="46" customWidth="1"/>
  </cols>
  <sheetData>
    <row r="1" ht="47.1" customHeight="1"/>
    <row r="2" ht="27.65" customHeight="1">
      <c r="B2" t="s" s="2">
        <v>54</v>
      </c>
      <c r="C2" s="2"/>
      <c r="D2" s="2"/>
      <c r="E2" s="2"/>
    </row>
    <row r="3" ht="20.25" customHeight="1">
      <c r="B3" s="4"/>
      <c r="C3" t="s" s="5">
        <v>55</v>
      </c>
      <c r="D3" t="s" s="5">
        <v>38</v>
      </c>
      <c r="E3" t="s" s="5">
        <v>56</v>
      </c>
    </row>
    <row r="4" ht="20.25" customHeight="1">
      <c r="B4" s="29">
        <v>2018</v>
      </c>
      <c r="C4" s="47">
        <v>359</v>
      </c>
      <c r="D4" s="48"/>
      <c r="E4" s="48"/>
    </row>
    <row r="5" ht="20.05" customHeight="1">
      <c r="B5" s="34"/>
      <c r="C5" s="49">
        <v>297</v>
      </c>
      <c r="D5" s="50"/>
      <c r="E5" s="50"/>
    </row>
    <row r="6" ht="20.05" customHeight="1">
      <c r="B6" s="34"/>
      <c r="C6" s="49">
        <v>349</v>
      </c>
      <c r="D6" s="50"/>
      <c r="E6" s="50"/>
    </row>
    <row r="7" ht="20.05" customHeight="1">
      <c r="B7" s="34"/>
      <c r="C7" s="49">
        <v>397</v>
      </c>
      <c r="D7" s="50"/>
      <c r="E7" s="50"/>
    </row>
    <row r="8" ht="20.05" customHeight="1">
      <c r="B8" s="37">
        <v>2019</v>
      </c>
      <c r="C8" s="49">
        <v>492</v>
      </c>
      <c r="D8" s="50"/>
      <c r="E8" s="50"/>
    </row>
    <row r="9" ht="20.05" customHeight="1">
      <c r="B9" s="34"/>
      <c r="C9" s="49">
        <v>494</v>
      </c>
      <c r="D9" s="50"/>
      <c r="E9" s="50"/>
    </row>
    <row r="10" ht="20.05" customHeight="1">
      <c r="B10" s="34"/>
      <c r="C10" s="49">
        <v>480</v>
      </c>
      <c r="D10" s="50"/>
      <c r="E10" s="50"/>
    </row>
    <row r="11" ht="20.05" customHeight="1">
      <c r="B11" s="34"/>
      <c r="C11" s="49">
        <v>452</v>
      </c>
      <c r="D11" s="50"/>
      <c r="E11" s="50"/>
    </row>
    <row r="12" ht="20.05" customHeight="1">
      <c r="B12" s="37">
        <v>2020</v>
      </c>
      <c r="C12" s="49">
        <v>350</v>
      </c>
      <c r="D12" s="50"/>
      <c r="E12" s="50"/>
    </row>
    <row r="13" ht="20.05" customHeight="1">
      <c r="B13" s="34"/>
      <c r="C13" s="18">
        <v>466.384613</v>
      </c>
      <c r="D13" s="26"/>
      <c r="E13" s="26"/>
    </row>
    <row r="14" ht="20.05" customHeight="1">
      <c r="B14" s="34"/>
      <c r="C14" s="18">
        <v>825</v>
      </c>
      <c r="D14" s="26"/>
      <c r="E14" s="26"/>
    </row>
    <row r="15" ht="20.05" customHeight="1">
      <c r="B15" s="34"/>
      <c r="C15" s="18">
        <v>840</v>
      </c>
      <c r="D15" s="26"/>
      <c r="E15" s="26"/>
    </row>
    <row r="16" ht="20.05" customHeight="1">
      <c r="B16" s="37">
        <v>2021</v>
      </c>
      <c r="C16" s="18">
        <v>1015</v>
      </c>
      <c r="D16" s="26"/>
      <c r="E16" s="26"/>
    </row>
    <row r="17" ht="20.05" customHeight="1">
      <c r="B17" s="34"/>
      <c r="C17" s="18">
        <v>905</v>
      </c>
      <c r="D17" s="26"/>
      <c r="E17" s="26"/>
    </row>
    <row r="18" ht="20.05" customHeight="1">
      <c r="B18" s="34"/>
      <c r="C18" s="18">
        <v>945</v>
      </c>
      <c r="D18" s="26"/>
      <c r="E18" s="26"/>
    </row>
    <row r="19" ht="20.05" customHeight="1">
      <c r="B19" s="34"/>
      <c r="C19" s="18">
        <v>1075</v>
      </c>
      <c r="D19" s="26"/>
      <c r="E19" s="26"/>
    </row>
    <row r="20" ht="20.05" customHeight="1">
      <c r="B20" s="37">
        <v>2022</v>
      </c>
      <c r="C20" s="18">
        <v>1250</v>
      </c>
      <c r="D20" s="19">
        <v>1595.482088185840</v>
      </c>
      <c r="E20" s="26"/>
    </row>
    <row r="21" ht="20.05" customHeight="1">
      <c r="B21" s="34"/>
      <c r="C21" s="18">
        <v>1095</v>
      </c>
      <c r="D21" s="19">
        <v>1522.605225048680</v>
      </c>
      <c r="E21" s="26"/>
    </row>
    <row r="22" ht="20.05" customHeight="1">
      <c r="B22" s="34"/>
      <c r="C22" s="18"/>
      <c r="D22" s="19">
        <f>'Model'!F44</f>
        <v>1442.214807513410</v>
      </c>
      <c r="E22" s="26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