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<sst xmlns="http://schemas.openxmlformats.org/spreadsheetml/2006/main" uniqueCount="60">
  <si>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</si>
  <si>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</si>
  <si>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2021</t>
  </si>
  <si>
    <t xml:space="preserve">Cashflow </t>
  </si>
  <si>
    <t xml:space="preserve">Growth </t>
  </si>
  <si>
    <t xml:space="preserve">Sales </t>
  </si>
  <si>
    <t xml:space="preserve">Cost ratio 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</si>
  <si>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</si>
  <si>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</si>
  <si>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</si>
  <si>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</si>
  <si>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</si>
  <si>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</si>
  <si>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</si>
  <si>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</si>
  <si>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</si>
  <si>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</si>
  <si>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</si>
  <si>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>Ending</t>
  </si>
  <si>
    <t>Profit</t>
  </si>
  <si>
    <t xml:space="preserve">Non cash costs </t>
  </si>
  <si>
    <t>Net profit</t>
  </si>
  <si>
    <t>Balance sheet</t>
  </si>
  <si>
    <t xml:space="preserve">Other assets </t>
  </si>
  <si>
    <t xml:space="preserve">Depreciation </t>
  </si>
  <si>
    <t>Net other assets</t>
  </si>
  <si>
    <t xml:space="preserve">Check 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</si>
  <si>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</si>
  <si>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</si>
  <si>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</si>
  <si>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</si>
  <si>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</si>
  <si>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</si>
  <si>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</si>
  <si>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</si>
  <si>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</si>
  <si>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</si>
  <si>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</si>
  <si>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</si>
  <si>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</si>
  <si>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</si>
  <si>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</si>
  <si>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</si>
  <si>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FX</t>
  </si>
  <si>
    <t xml:space="preserve">Net profit </t>
  </si>
  <si>
    <t xml:space="preserve">Sales growth </t>
  </si>
  <si>
    <t>Cashflow costs</t>
  </si>
  <si>
    <t>Cashflow</t>
  </si>
  <si>
    <t xml:space="preserve">Receipts </t>
  </si>
  <si>
    <t>Capex</t>
  </si>
  <si>
    <t xml:space="preserve">Leases </t>
  </si>
  <si>
    <t xml:space="preserve">Free cashflow </t>
  </si>
  <si>
    <t xml:space="preserve">Capital </t>
  </si>
  <si>
    <t>Cash</t>
  </si>
  <si>
    <t>Assets</t>
  </si>
  <si>
    <t>Other assets</t>
  </si>
  <si>
    <t>Net cash</t>
  </si>
  <si>
    <t>Share price</t>
  </si>
  <si>
    <t>MAPB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</si>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</sst>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3896"/>
          <c:y val="0.0426778"/>
          <c:w val="0.848205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90268"/>
          <c:y val="0.0826327"/>
          <c:w val="0.495462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600114</xdr:colOff>
      <xdr:row>1</xdr:row>
      <xdr:rowOff>264883</xdr:rowOff>
    </xdr:from>
    <xdr:to>
      <xdr:col>13</xdr:col>
      <xdr:colOff>421446</xdr:colOff>
      <xdr:row>47</xdr:row>
      <xdr:rowOff>234475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61014" y="781138"/>
          <a:ext cx="8533533" cy="117844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16</xdr:col>
      <xdr:colOff>364227</xdr:colOff>
      <xdr:row>19</xdr:row>
      <xdr:rowOff>252035</xdr:rowOff>
    </xdr:from>
    <xdr:to>
      <xdr:col>18</xdr:col>
      <xdr:colOff>1053474</xdr:colOff>
      <xdr:row>33</xdr:row>
      <xdr:rowOff>174768</xdr:rowOff>
    </xdr:to>
    <xdr:graphicFrame>
      <xdr:nvGraphicFramePr>
        <xdr:cNvPr id="4" name="2D Line Chart"/>
        <xdr:cNvGraphicFramePr/>
      </xdr:nvGraphicFramePr>
      <xdr:xfrm>
        <a:off x="17560027" y="5111055"/>
        <a:ext cx="3178448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72656" style="1" customWidth="1"/>
    <col min="2" max="2" width="16.1484" style="1" customWidth="1"/>
    <col min="3" max="6" width="8.875" style="1" customWidth="1"/>
    <col min="7" max="16384" width="16.3516" style="1" customWidth="1"/>
  </cols>
  <sheetData>
    <row r="1" ht="40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6"/>
      <c r="F3" s="5"/>
    </row>
    <row r="4" ht="20.25" customHeight="1">
      <c r="B4" t="s" s="7">
        <v>3</v>
      </c>
      <c r="C4" s="8">
        <f>AVERAGE('Sales'!H21:H24)</f>
        <v>0.255175657405558</v>
      </c>
      <c r="D4" s="9"/>
      <c r="E4" s="9"/>
      <c r="F4" s="10">
        <f>AVERAGE(C5:F5)</f>
        <v>0.1</v>
      </c>
    </row>
    <row r="5" ht="20.05" customHeight="1">
      <c r="B5" t="s" s="11">
        <v>4</v>
      </c>
      <c r="C5" s="12">
        <v>0.25</v>
      </c>
      <c r="D5" s="13">
        <v>0.01</v>
      </c>
      <c r="E5" s="13">
        <v>0.07000000000000001</v>
      </c>
      <c r="F5" s="13">
        <v>0.07000000000000001</v>
      </c>
    </row>
    <row r="6" ht="20.05" customHeight="1">
      <c r="B6" t="s" s="11">
        <v>5</v>
      </c>
      <c r="C6" s="14">
        <f>'Sales'!C25*(1+C5)</f>
        <v>595.125</v>
      </c>
      <c r="D6" s="15">
        <f>C6*(1+D5)</f>
        <v>601.07625</v>
      </c>
      <c r="E6" s="15">
        <f>D6*(1+E5)</f>
        <v>643.1515875</v>
      </c>
      <c r="F6" s="15">
        <f>E6*(1+F5)</f>
        <v>688.172198625</v>
      </c>
    </row>
    <row r="7" ht="20.05" customHeight="1">
      <c r="B7" t="s" s="11">
        <v>6</v>
      </c>
      <c r="C7" s="16">
        <f>AVERAGE('Sales'!J25)</f>
        <v>-0.8061104157360059</v>
      </c>
      <c r="D7" s="13">
        <f>C7</f>
        <v>-0.8061104157360059</v>
      </c>
      <c r="E7" s="13">
        <f>D7</f>
        <v>-0.8061104157360059</v>
      </c>
      <c r="F7" s="13">
        <f>E7</f>
        <v>-0.8061104157360059</v>
      </c>
    </row>
    <row r="8" ht="20.05" customHeight="1">
      <c r="B8" t="s" s="11">
        <v>7</v>
      </c>
      <c r="C8" s="17">
        <f>C6*C7</f>
        <v>-479.736461164891</v>
      </c>
      <c r="D8" s="18">
        <f>D6*D7</f>
        <v>-484.533825776539</v>
      </c>
      <c r="E8" s="18">
        <f>E6*E7</f>
        <v>-518.451193580897</v>
      </c>
      <c r="F8" s="18">
        <f>F6*F7</f>
        <v>-554.742777131560</v>
      </c>
    </row>
    <row r="9" ht="20.05" customHeight="1">
      <c r="B9" t="s" s="11">
        <v>8</v>
      </c>
      <c r="C9" s="17">
        <f>C6+C8</f>
        <v>115.388538835109</v>
      </c>
      <c r="D9" s="18">
        <f>D6+D8</f>
        <v>116.542424223461</v>
      </c>
      <c r="E9" s="18">
        <f>E6+E8</f>
        <v>124.700393919103</v>
      </c>
      <c r="F9" s="18">
        <f>F6+F8</f>
        <v>133.429421493440</v>
      </c>
    </row>
    <row r="10" ht="20.05" customHeight="1">
      <c r="B10" t="s" s="11">
        <v>9</v>
      </c>
      <c r="C10" s="17">
        <f>AVERAGE('Cashflow'!F26)</f>
        <v>-43.8</v>
      </c>
      <c r="D10" s="18">
        <f>C10</f>
        <v>-43.8</v>
      </c>
      <c r="E10" s="18">
        <f>D10</f>
        <v>-43.8</v>
      </c>
      <c r="F10" s="18">
        <f>E10</f>
        <v>-43.8</v>
      </c>
    </row>
    <row r="11" ht="20.05" customHeight="1">
      <c r="B11" t="s" s="11">
        <v>10</v>
      </c>
      <c r="C11" s="17">
        <f>AVERAGE('Cashflow'!G26)</f>
        <v>-43.619</v>
      </c>
      <c r="D11" s="18">
        <f>C11</f>
        <v>-43.619</v>
      </c>
      <c r="E11" s="18">
        <f>D11</f>
        <v>-43.619</v>
      </c>
      <c r="F11" s="18">
        <f>E11</f>
        <v>-43.619</v>
      </c>
    </row>
    <row r="12" ht="20.05" customHeight="1">
      <c r="B12" t="s" s="11">
        <v>11</v>
      </c>
      <c r="C12" s="17">
        <f>C13+C14+C16</f>
        <v>-64.5</v>
      </c>
      <c r="D12" s="18">
        <f>D13+D14+D16</f>
        <v>-61.275</v>
      </c>
      <c r="E12" s="18">
        <f>E13+E14+E16</f>
        <v>-58.21125</v>
      </c>
      <c r="F12" s="18">
        <f>F13+F14+F16</f>
        <v>-56.329513948032</v>
      </c>
    </row>
    <row r="13" ht="20.05" customHeight="1">
      <c r="B13" t="s" s="11">
        <v>12</v>
      </c>
      <c r="C13" s="17">
        <f>-('Balance sheet'!G22)/20</f>
        <v>-64.5</v>
      </c>
      <c r="D13" s="18">
        <f>-C27/20</f>
        <v>-61.275</v>
      </c>
      <c r="E13" s="18">
        <f>-D27/20</f>
        <v>-58.21125</v>
      </c>
      <c r="F13" s="18">
        <f>-E27/20</f>
        <v>-55.3006875</v>
      </c>
    </row>
    <row r="14" ht="20.05" customHeight="1">
      <c r="B14" t="s" s="11">
        <v>13</v>
      </c>
      <c r="C14" s="17">
        <f>IF(C22&gt;0,-C22*0.3,0)</f>
        <v>0</v>
      </c>
      <c r="D14" s="18">
        <f>IF(D22&gt;0,-D22*0.3,0)</f>
        <v>0</v>
      </c>
      <c r="E14" s="18">
        <f>IF(E22&gt;0,-E22*0.3,0)</f>
        <v>0</v>
      </c>
      <c r="F14" s="18">
        <f>IF(F22&gt;0,-F22*0.3,0)</f>
        <v>-1.028826448032</v>
      </c>
    </row>
    <row r="15" ht="20.05" customHeight="1">
      <c r="B15" t="s" s="11">
        <v>14</v>
      </c>
      <c r="C15" s="17">
        <f>C9+C10+C13+C14</f>
        <v>7.088538835109</v>
      </c>
      <c r="D15" s="18">
        <f>D9+D10+D13+D14</f>
        <v>11.467424223461</v>
      </c>
      <c r="E15" s="18">
        <f>E9+E10+E13+E14</f>
        <v>22.689143919103</v>
      </c>
      <c r="F15" s="18">
        <f>F9+F10+F13+F14</f>
        <v>33.299907545408</v>
      </c>
    </row>
    <row r="16" ht="20.05" customHeight="1">
      <c r="B16" t="s" s="11">
        <v>15</v>
      </c>
      <c r="C16" s="17">
        <f>-MIN(0,C15)</f>
        <v>0</v>
      </c>
      <c r="D16" s="18">
        <f>-MIN(C28,D15)</f>
        <v>0</v>
      </c>
      <c r="E16" s="18">
        <f>-MIN(D28,E15)</f>
        <v>0</v>
      </c>
      <c r="F16" s="18">
        <f>-MIN(E28,F15)</f>
        <v>0</v>
      </c>
    </row>
    <row r="17" ht="20.05" customHeight="1">
      <c r="B17" t="s" s="11">
        <v>16</v>
      </c>
      <c r="C17" s="17">
        <f>'Balance sheet'!C22</f>
        <v>251</v>
      </c>
      <c r="D17" s="18">
        <f>C19</f>
        <v>258.088538835109</v>
      </c>
      <c r="E17" s="18">
        <f>D19</f>
        <v>269.555963058570</v>
      </c>
      <c r="F17" s="18">
        <f>E19</f>
        <v>292.245106977673</v>
      </c>
    </row>
    <row r="18" ht="20.05" customHeight="1">
      <c r="B18" t="s" s="11">
        <v>17</v>
      </c>
      <c r="C18" s="17">
        <f>C9+C10+C12</f>
        <v>7.088538835109</v>
      </c>
      <c r="D18" s="18">
        <f>D9+D10+D12</f>
        <v>11.467424223461</v>
      </c>
      <c r="E18" s="18">
        <f>E9+E10+E12</f>
        <v>22.689143919103</v>
      </c>
      <c r="F18" s="18">
        <f>F9+F10+F12</f>
        <v>33.299907545408</v>
      </c>
    </row>
    <row r="19" ht="20.05" customHeight="1">
      <c r="B19" t="s" s="11">
        <v>18</v>
      </c>
      <c r="C19" s="17">
        <f>C17+C18</f>
        <v>258.088538835109</v>
      </c>
      <c r="D19" s="18">
        <f>D17+D18</f>
        <v>269.555963058570</v>
      </c>
      <c r="E19" s="18">
        <f>E17+E18</f>
        <v>292.245106977673</v>
      </c>
      <c r="F19" s="18">
        <f>F17+F18</f>
        <v>325.545014523081</v>
      </c>
    </row>
    <row r="20" ht="20.05" customHeight="1">
      <c r="B20" t="s" s="19">
        <v>19</v>
      </c>
      <c r="C20" s="17"/>
      <c r="D20" s="18"/>
      <c r="E20" s="18"/>
      <c r="F20" s="20"/>
    </row>
    <row r="21" ht="20.05" customHeight="1">
      <c r="B21" t="s" s="11">
        <v>20</v>
      </c>
      <c r="C21" s="17">
        <f>-AVERAGE('Sales'!E25)</f>
        <v>-130</v>
      </c>
      <c r="D21" s="18">
        <f>C21</f>
        <v>-130</v>
      </c>
      <c r="E21" s="18">
        <f>D21</f>
        <v>-130</v>
      </c>
      <c r="F21" s="18">
        <f>E21</f>
        <v>-130</v>
      </c>
    </row>
    <row r="22" ht="20.05" customHeight="1">
      <c r="B22" t="s" s="11">
        <v>21</v>
      </c>
      <c r="C22" s="17">
        <f>C6+C8+C21</f>
        <v>-14.611461164891</v>
      </c>
      <c r="D22" s="18">
        <f>D6+D8+D21</f>
        <v>-13.457575776539</v>
      </c>
      <c r="E22" s="18">
        <f>E6+E8+E21</f>
        <v>-5.299606080897</v>
      </c>
      <c r="F22" s="18">
        <f>F6+F8+F21</f>
        <v>3.429421493440</v>
      </c>
    </row>
    <row r="23" ht="20.05" customHeight="1">
      <c r="B23" t="s" s="19">
        <v>22</v>
      </c>
      <c r="C23" s="17"/>
      <c r="D23" s="18"/>
      <c r="E23" s="18"/>
      <c r="F23" s="18"/>
    </row>
    <row r="24" ht="20.05" customHeight="1">
      <c r="B24" t="s" s="11">
        <v>23</v>
      </c>
      <c r="C24" s="17">
        <f>'Balance sheet'!E22+'Balance sheet'!F22-C10</f>
        <v>4025.8</v>
      </c>
      <c r="D24" s="18">
        <f>C24-D10</f>
        <v>4069.6</v>
      </c>
      <c r="E24" s="18">
        <f>D24-E10</f>
        <v>4113.4</v>
      </c>
      <c r="F24" s="18">
        <f>E24-F10</f>
        <v>4157.2</v>
      </c>
    </row>
    <row r="25" ht="20.05" customHeight="1">
      <c r="B25" t="s" s="11">
        <v>24</v>
      </c>
      <c r="C25" s="17">
        <f>'Balance sheet'!F22-C21</f>
        <v>2127</v>
      </c>
      <c r="D25" s="18">
        <f>C25-D21</f>
        <v>2257</v>
      </c>
      <c r="E25" s="18">
        <f>D25-E21</f>
        <v>2387</v>
      </c>
      <c r="F25" s="18">
        <f>E25-F21</f>
        <v>2517</v>
      </c>
    </row>
    <row r="26" ht="20.05" customHeight="1">
      <c r="B26" t="s" s="11">
        <v>25</v>
      </c>
      <c r="C26" s="17">
        <f>C24-C25</f>
        <v>1898.8</v>
      </c>
      <c r="D26" s="18">
        <f>D24-D25</f>
        <v>1812.6</v>
      </c>
      <c r="E26" s="18">
        <f>E24-E25</f>
        <v>1726.4</v>
      </c>
      <c r="F26" s="18">
        <f>F24-F25</f>
        <v>1640.2</v>
      </c>
    </row>
    <row r="27" ht="20.05" customHeight="1">
      <c r="B27" t="s" s="11">
        <v>12</v>
      </c>
      <c r="C27" s="17">
        <f>'Balance sheet'!G22+C13</f>
        <v>1225.5</v>
      </c>
      <c r="D27" s="18">
        <f>C27+D13</f>
        <v>1164.225</v>
      </c>
      <c r="E27" s="18">
        <f>D27+E13</f>
        <v>1106.01375</v>
      </c>
      <c r="F27" s="18">
        <f>E27+F13</f>
        <v>1050.7130625</v>
      </c>
    </row>
    <row r="28" ht="20.05" customHeight="1">
      <c r="B28" t="s" s="11">
        <v>15</v>
      </c>
      <c r="C28" s="17">
        <f>C16</f>
        <v>0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1">
        <v>13</v>
      </c>
      <c r="C29" s="17">
        <f>'Balance sheet'!H22+C22+C14</f>
        <v>931.388538835109</v>
      </c>
      <c r="D29" s="18">
        <f>C29+D22+D14</f>
        <v>917.930963058570</v>
      </c>
      <c r="E29" s="18">
        <f>D29+E22+E14</f>
        <v>912.631356977673</v>
      </c>
      <c r="F29" s="18">
        <f>E29+F22+F14</f>
        <v>915.031952023081</v>
      </c>
    </row>
    <row r="30" ht="20.05" customHeight="1">
      <c r="B30" t="s" s="11">
        <v>26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1">
        <v>27</v>
      </c>
      <c r="C31" s="17">
        <f>C19-C27-C28</f>
        <v>-967.411461164891</v>
      </c>
      <c r="D31" s="18">
        <f>D19-D27-D28</f>
        <v>-894.669036941430</v>
      </c>
      <c r="E31" s="18">
        <f>E19-E27-E28</f>
        <v>-813.768643022327</v>
      </c>
      <c r="F31" s="18">
        <f>F19-F27-F28</f>
        <v>-725.168047976919</v>
      </c>
    </row>
    <row r="32" ht="20.05" customHeight="1">
      <c r="B32" t="s" s="19">
        <v>28</v>
      </c>
      <c r="C32" s="17"/>
      <c r="D32" s="18"/>
      <c r="E32" s="18"/>
      <c r="F32" s="18"/>
    </row>
    <row r="33" ht="20.05" customHeight="1">
      <c r="B33" t="s" s="11">
        <v>29</v>
      </c>
      <c r="C33" s="17">
        <f>-(C12-C11)+'Cashflow'!M26</f>
        <v>-119.662999999999</v>
      </c>
      <c r="D33" s="18">
        <f>C33-(D12-D11)</f>
        <v>-102.006999999999</v>
      </c>
      <c r="E33" s="18">
        <f>D33-(E12-E11)</f>
        <v>-87.414749999999</v>
      </c>
      <c r="F33" s="18">
        <f>E33-(F12-F11)</f>
        <v>-74.704236051967</v>
      </c>
    </row>
    <row r="34" ht="20.05" customHeight="1">
      <c r="B34" t="s" s="11">
        <v>30</v>
      </c>
      <c r="C34" s="17"/>
      <c r="D34" s="18"/>
      <c r="E34" s="18"/>
      <c r="F34" s="18">
        <v>3571</v>
      </c>
    </row>
    <row r="35" ht="20.05" customHeight="1">
      <c r="B35" t="s" s="11">
        <v>31</v>
      </c>
      <c r="C35" s="17"/>
      <c r="D35" s="18"/>
      <c r="E35" s="18"/>
      <c r="F35" s="21">
        <f>F34/(F19+F26)</f>
        <v>1.81661404384453</v>
      </c>
    </row>
    <row r="36" ht="20.05" customHeight="1">
      <c r="B36" t="s" s="11">
        <v>32</v>
      </c>
      <c r="C36" s="17"/>
      <c r="D36" s="18"/>
      <c r="E36" s="18"/>
      <c r="F36" s="22">
        <f>-(C14+D14+E14+F14)/F34</f>
        <v>0.00028810597816634</v>
      </c>
    </row>
    <row r="37" ht="20.05" customHeight="1">
      <c r="B37" t="s" s="11">
        <v>3</v>
      </c>
      <c r="C37" s="17"/>
      <c r="D37" s="18"/>
      <c r="E37" s="18"/>
      <c r="F37" s="18">
        <f>SUM(C9:F11)</f>
        <v>140.384778471113</v>
      </c>
    </row>
    <row r="38" ht="20.05" customHeight="1">
      <c r="B38" t="s" s="11">
        <v>33</v>
      </c>
      <c r="C38" s="17"/>
      <c r="D38" s="18"/>
      <c r="E38" s="18"/>
      <c r="F38" s="18">
        <f>'Balance sheet'!E22/F37</f>
        <v>14.1397096011264</v>
      </c>
    </row>
    <row r="39" ht="20.05" customHeight="1">
      <c r="B39" t="s" s="11">
        <v>28</v>
      </c>
      <c r="C39" s="17"/>
      <c r="D39" s="18"/>
      <c r="E39" s="18"/>
      <c r="F39" s="18">
        <f>F34/F37</f>
        <v>25.4372307232355</v>
      </c>
    </row>
    <row r="40" ht="20.05" customHeight="1">
      <c r="B40" t="s" s="11">
        <v>34</v>
      </c>
      <c r="C40" s="17"/>
      <c r="D40" s="18"/>
      <c r="E40" s="18"/>
      <c r="F40" s="18">
        <v>27</v>
      </c>
    </row>
    <row r="41" ht="20.05" customHeight="1">
      <c r="B41" t="s" s="11">
        <v>35</v>
      </c>
      <c r="C41" s="17"/>
      <c r="D41" s="18"/>
      <c r="E41" s="18"/>
      <c r="F41" s="18">
        <f>F37*F40</f>
        <v>3790.389018720050</v>
      </c>
    </row>
    <row r="42" ht="20.05" customHeight="1">
      <c r="B42" t="s" s="11">
        <v>36</v>
      </c>
      <c r="C42" s="17"/>
      <c r="D42" s="18"/>
      <c r="E42" s="18"/>
      <c r="F42" s="18">
        <f>F34/F44</f>
        <v>2.17082066869301</v>
      </c>
    </row>
    <row r="43" ht="20.05" customHeight="1">
      <c r="B43" t="s" s="11">
        <v>37</v>
      </c>
      <c r="C43" s="17"/>
      <c r="D43" s="18"/>
      <c r="E43" s="18"/>
      <c r="F43" s="18">
        <f>F41/F42</f>
        <v>1746.0627095476</v>
      </c>
    </row>
    <row r="44" ht="20.05" customHeight="1">
      <c r="B44" t="s" s="11">
        <v>38</v>
      </c>
      <c r="C44" s="17"/>
      <c r="D44" s="18"/>
      <c r="E44" s="18"/>
      <c r="F44" s="18">
        <f>'Share price '!C62</f>
        <v>1645</v>
      </c>
    </row>
    <row r="45" ht="20.05" customHeight="1">
      <c r="B45" t="s" s="11">
        <v>39</v>
      </c>
      <c r="C45" s="17"/>
      <c r="D45" s="18"/>
      <c r="E45" s="18"/>
      <c r="F45" s="13">
        <f>F43/F44-1</f>
        <v>0.0614362975973252</v>
      </c>
    </row>
    <row r="46" ht="20.05" customHeight="1">
      <c r="B46" t="s" s="11">
        <v>40</v>
      </c>
      <c r="C46" s="17"/>
      <c r="D46" s="18"/>
      <c r="E46" s="18"/>
      <c r="F46" s="13">
        <f>'Sales'!C25/'Sales'!C21-1</f>
        <v>-0.0420523138832998</v>
      </c>
    </row>
    <row r="47" ht="20.05" customHeight="1">
      <c r="B47" t="s" s="11">
        <v>41</v>
      </c>
      <c r="C47" s="17"/>
      <c r="D47" s="18"/>
      <c r="E47" s="18"/>
      <c r="F47" s="13">
        <f>('Sales'!D18+'Sales'!D19+'Sales'!D20+'Sales'!D21+'Sales'!D22+'Sales'!D23+'Sales'!D24+'Sales'!D25)/('Sales'!C18+'Sales'!C19+'Sales'!C20+'Sales'!C21+'Sales'!C22+'Sales'!C23+'Sales'!C24+'Sales'!C25)-1</f>
        <v>0.136098789219013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08594" style="23" customWidth="1"/>
    <col min="2" max="2" width="6.67969" style="23" customWidth="1"/>
    <col min="3" max="11" width="9.75781" style="23" customWidth="1"/>
    <col min="12" max="16384" width="16.3516" style="23" customWidth="1"/>
  </cols>
  <sheetData>
    <row r="1" ht="27.65" customHeight="1">
      <c r="B1" t="s" s="2">
        <v>42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4">
        <v>1</v>
      </c>
      <c r="C2" t="s" s="4">
        <v>42</v>
      </c>
      <c r="D2" t="s" s="4">
        <v>34</v>
      </c>
      <c r="E2" t="s" s="4">
        <v>24</v>
      </c>
      <c r="F2" t="s" s="4">
        <v>43</v>
      </c>
      <c r="G2" t="s" s="4">
        <v>44</v>
      </c>
      <c r="H2" t="s" s="4">
        <v>45</v>
      </c>
      <c r="I2" t="s" s="4">
        <v>6</v>
      </c>
      <c r="J2" t="s" s="4">
        <v>46</v>
      </c>
      <c r="K2" t="s" s="4">
        <v>46</v>
      </c>
    </row>
    <row r="3" ht="20.25" customHeight="1">
      <c r="B3" s="24">
        <v>2016</v>
      </c>
      <c r="C3" s="25"/>
      <c r="D3" s="26"/>
      <c r="E3" s="26"/>
      <c r="F3" s="27"/>
      <c r="G3" s="27"/>
      <c r="H3" s="28"/>
      <c r="I3" s="28"/>
      <c r="J3" s="9"/>
      <c r="K3" s="9"/>
    </row>
    <row r="4" ht="20.05" customHeight="1">
      <c r="B4" s="29"/>
      <c r="C4" s="14"/>
      <c r="D4" s="15"/>
      <c r="E4" s="15"/>
      <c r="F4" s="18"/>
      <c r="G4" s="18"/>
      <c r="H4" s="30"/>
      <c r="I4" s="30"/>
      <c r="J4" s="20"/>
      <c r="K4" s="20"/>
    </row>
    <row r="5" ht="20.05" customHeight="1">
      <c r="B5" s="29"/>
      <c r="C5" s="14">
        <v>439</v>
      </c>
      <c r="D5" s="15"/>
      <c r="E5" s="15">
        <v>22</v>
      </c>
      <c r="F5" s="18">
        <v>0</v>
      </c>
      <c r="G5" s="18">
        <v>40</v>
      </c>
      <c r="H5" s="30"/>
      <c r="I5" s="30">
        <f>(E5+G5-F5-C5)/C5</f>
        <v>-0.85876993166287</v>
      </c>
      <c r="J5" s="20"/>
      <c r="K5" s="20"/>
    </row>
    <row r="6" ht="20.05" customHeight="1">
      <c r="B6" s="29"/>
      <c r="C6" s="14">
        <v>443</v>
      </c>
      <c r="D6" s="15"/>
      <c r="E6" s="15">
        <v>32</v>
      </c>
      <c r="F6" s="18">
        <v>0</v>
      </c>
      <c r="G6" s="18">
        <v>32</v>
      </c>
      <c r="H6" s="30">
        <f>C6/C5-1</f>
        <v>0.009111617312072891</v>
      </c>
      <c r="I6" s="30">
        <f>(E6+G6-F6-C6)/C6</f>
        <v>-0.855530474040632</v>
      </c>
      <c r="J6" s="20"/>
      <c r="K6" s="20"/>
    </row>
    <row r="7" ht="20.05" customHeight="1">
      <c r="B7" s="31">
        <v>2017</v>
      </c>
      <c r="C7" s="14">
        <v>439</v>
      </c>
      <c r="D7" s="15"/>
      <c r="E7" s="15">
        <v>26</v>
      </c>
      <c r="F7" s="18">
        <v>0</v>
      </c>
      <c r="G7" s="18">
        <v>15</v>
      </c>
      <c r="H7" s="30">
        <f>C7/C6-1</f>
        <v>-0.009029345372460499</v>
      </c>
      <c r="I7" s="30">
        <f>(E7+G7-F7-C7)/C7</f>
        <v>-0.9066059225512531</v>
      </c>
      <c r="J7" s="20"/>
      <c r="K7" s="30">
        <f>('Cashflow'!E8-'Cashflow'!C8)/'Cashflow'!C8</f>
        <v>-0.848837209302326</v>
      </c>
    </row>
    <row r="8" ht="20.05" customHeight="1">
      <c r="B8" s="29"/>
      <c r="C8" s="14">
        <v>441</v>
      </c>
      <c r="D8" s="15"/>
      <c r="E8" s="15">
        <v>32</v>
      </c>
      <c r="F8" s="18">
        <v>0</v>
      </c>
      <c r="G8" s="18">
        <v>6</v>
      </c>
      <c r="H8" s="30">
        <f>C8/C7-1</f>
        <v>0.00455580865603645</v>
      </c>
      <c r="I8" s="30">
        <f>(E8+G8-F8-C8)/C8</f>
        <v>-0.913832199546485</v>
      </c>
      <c r="J8" s="20"/>
      <c r="K8" s="30">
        <f>('Cashflow'!E9-'Cashflow'!C9)/'Cashflow'!C9</f>
        <v>-0.925373134328358</v>
      </c>
    </row>
    <row r="9" ht="20.05" customHeight="1">
      <c r="B9" s="29"/>
      <c r="C9" s="14">
        <v>594</v>
      </c>
      <c r="D9" s="15"/>
      <c r="E9" s="15">
        <v>42</v>
      </c>
      <c r="F9" s="18">
        <v>0</v>
      </c>
      <c r="G9" s="18">
        <v>50</v>
      </c>
      <c r="H9" s="30">
        <f>C9/C8-1</f>
        <v>0.346938775510204</v>
      </c>
      <c r="I9" s="30">
        <f>(E9+G9-F9-C9)/C9</f>
        <v>-0.845117845117845</v>
      </c>
      <c r="J9" s="20"/>
      <c r="K9" s="30">
        <f>('Cashflow'!E10-'Cashflow'!C10)/'Cashflow'!C10</f>
        <v>-0.919463087248322</v>
      </c>
    </row>
    <row r="10" ht="20.05" customHeight="1">
      <c r="B10" s="29"/>
      <c r="C10" s="14">
        <v>574</v>
      </c>
      <c r="D10" s="15"/>
      <c r="E10" s="15">
        <v>39</v>
      </c>
      <c r="F10" s="18">
        <v>0</v>
      </c>
      <c r="G10" s="18">
        <v>24</v>
      </c>
      <c r="H10" s="30">
        <f>C10/C9-1</f>
        <v>-0.0336700336700337</v>
      </c>
      <c r="I10" s="30">
        <f>(E10+G10-F10-C10)/C10</f>
        <v>-0.890243902439024</v>
      </c>
      <c r="J10" s="20"/>
      <c r="K10" s="30">
        <f>('Cashflow'!E11-'Cashflow'!C11)/'Cashflow'!C11</f>
        <v>-0.786697247706422</v>
      </c>
    </row>
    <row r="11" ht="20.05" customHeight="1">
      <c r="B11" s="31">
        <v>2018</v>
      </c>
      <c r="C11" s="14">
        <v>597</v>
      </c>
      <c r="D11" s="15"/>
      <c r="E11" s="15">
        <v>44</v>
      </c>
      <c r="F11" s="18">
        <v>0</v>
      </c>
      <c r="G11" s="18">
        <v>32</v>
      </c>
      <c r="H11" s="30">
        <f>C11/C10-1</f>
        <v>0.0400696864111498</v>
      </c>
      <c r="I11" s="30">
        <f>(E11+G11-F11-C11)/C11</f>
        <v>-0.872696817420436</v>
      </c>
      <c r="J11" s="30">
        <f>AVERAGE(K8:K11)</f>
        <v>-0.865816059628468</v>
      </c>
      <c r="K11" s="30">
        <f>('Cashflow'!E12-'Cashflow'!C12)/'Cashflow'!C12</f>
        <v>-0.8317307692307691</v>
      </c>
    </row>
    <row r="12" ht="20.05" customHeight="1">
      <c r="B12" s="29"/>
      <c r="C12" s="14">
        <v>605</v>
      </c>
      <c r="D12" s="15"/>
      <c r="E12" s="15">
        <v>46</v>
      </c>
      <c r="F12" s="18">
        <v>0</v>
      </c>
      <c r="G12" s="18">
        <v>28</v>
      </c>
      <c r="H12" s="30">
        <f>C12/C11-1</f>
        <v>0.0134003350083752</v>
      </c>
      <c r="I12" s="30">
        <f>(E12+G12-F12-C12)/C12</f>
        <v>-0.8776859504132229</v>
      </c>
      <c r="J12" s="30">
        <f>AVERAGE(K9:K12)</f>
        <v>-0.858822981244737</v>
      </c>
      <c r="K12" s="30">
        <f>('Cashflow'!E13-'Cashflow'!C13)/'Cashflow'!C13</f>
        <v>-0.897400820793434</v>
      </c>
    </row>
    <row r="13" ht="20.05" customHeight="1">
      <c r="B13" s="29"/>
      <c r="C13" s="14">
        <v>670</v>
      </c>
      <c r="D13" s="15"/>
      <c r="E13" s="15">
        <v>42</v>
      </c>
      <c r="F13" s="18">
        <v>0</v>
      </c>
      <c r="G13" s="18">
        <v>36</v>
      </c>
      <c r="H13" s="30">
        <f>C13/C12-1</f>
        <v>0.107438016528926</v>
      </c>
      <c r="I13" s="30">
        <f>(E13+G13-F13-C13)/C13</f>
        <v>-0.883582089552239</v>
      </c>
      <c r="J13" s="30">
        <f>AVERAGE(K10:K13)</f>
        <v>-0.857188501949663</v>
      </c>
      <c r="K13" s="30">
        <f>('Cashflow'!E14-'Cashflow'!C14)/'Cashflow'!C14</f>
        <v>-0.912925170068027</v>
      </c>
    </row>
    <row r="14" ht="20.05" customHeight="1">
      <c r="B14" s="29"/>
      <c r="C14" s="14">
        <v>645</v>
      </c>
      <c r="D14" s="15"/>
      <c r="E14" s="15">
        <v>59</v>
      </c>
      <c r="F14" s="18">
        <v>0</v>
      </c>
      <c r="G14" s="18">
        <v>24.5</v>
      </c>
      <c r="H14" s="30">
        <f>C14/C13-1</f>
        <v>-0.0373134328358209</v>
      </c>
      <c r="I14" s="30">
        <f>(E14+G14-F14-C14)/C14</f>
        <v>-0.870542635658915</v>
      </c>
      <c r="J14" s="30">
        <f>AVERAGE(K11:K14)</f>
        <v>-0.863165442965048</v>
      </c>
      <c r="K14" s="30">
        <f>('Cashflow'!E15-'Cashflow'!C15)/'Cashflow'!C15</f>
        <v>-0.810605011767963</v>
      </c>
    </row>
    <row r="15" ht="20.05" customHeight="1">
      <c r="B15" s="31">
        <v>2019</v>
      </c>
      <c r="C15" s="14">
        <v>699.2</v>
      </c>
      <c r="D15" s="15"/>
      <c r="E15" s="15">
        <v>53.697</v>
      </c>
      <c r="F15" s="18">
        <v>0</v>
      </c>
      <c r="G15" s="18">
        <v>24.9</v>
      </c>
      <c r="H15" s="30">
        <f>C15/C14-1</f>
        <v>0.084031007751938</v>
      </c>
      <c r="I15" s="30">
        <f>(E15+G15-F15-C15)/C15</f>
        <v>-0.887590102974828</v>
      </c>
      <c r="J15" s="30">
        <f>AVERAGE(K12:K15)</f>
        <v>-0.87270115406205</v>
      </c>
      <c r="K15" s="30">
        <f>('Cashflow'!E16-'Cashflow'!C16)/'Cashflow'!C16</f>
        <v>-0.869873613618777</v>
      </c>
    </row>
    <row r="16" ht="20.05" customHeight="1">
      <c r="B16" s="29"/>
      <c r="C16" s="14">
        <v>735.8</v>
      </c>
      <c r="D16" s="15"/>
      <c r="E16" s="15">
        <v>57.303</v>
      </c>
      <c r="F16" s="18">
        <v>0</v>
      </c>
      <c r="G16" s="18">
        <v>33.1</v>
      </c>
      <c r="H16" s="30">
        <f>C16/C15-1</f>
        <v>0.0523455377574371</v>
      </c>
      <c r="I16" s="30">
        <f>(E16+G16-F16-C16)/C16</f>
        <v>-0.877136450122316</v>
      </c>
      <c r="J16" s="30">
        <f>AVERAGE(K13:K16)</f>
        <v>-0.871011077960018</v>
      </c>
      <c r="K16" s="30">
        <f>('Cashflow'!E17-'Cashflow'!C17)/'Cashflow'!C17</f>
        <v>-0.8906405163853029</v>
      </c>
    </row>
    <row r="17" ht="20.05" customHeight="1">
      <c r="B17" s="29"/>
      <c r="C17" s="14">
        <v>789</v>
      </c>
      <c r="D17" s="15"/>
      <c r="E17" s="15">
        <v>60</v>
      </c>
      <c r="F17" s="18">
        <v>0</v>
      </c>
      <c r="G17" s="18">
        <v>47</v>
      </c>
      <c r="H17" s="30">
        <f>C17/C16-1</f>
        <v>0.0723022560478391</v>
      </c>
      <c r="I17" s="30">
        <f>(E17+G17-F17-C17)/C17</f>
        <v>-0.864385297845374</v>
      </c>
      <c r="J17" s="30">
        <f>AVERAGE(K14:K17)</f>
        <v>-0.863085215307264</v>
      </c>
      <c r="K17" s="30">
        <f>('Cashflow'!E18-'Cashflow'!C18)/'Cashflow'!C18</f>
        <v>-0.881221719457014</v>
      </c>
    </row>
    <row r="18" ht="20.05" customHeight="1">
      <c r="B18" s="29"/>
      <c r="C18" s="14">
        <v>870.9</v>
      </c>
      <c r="D18" s="15">
        <v>924.6</v>
      </c>
      <c r="E18" s="15">
        <v>62</v>
      </c>
      <c r="F18" s="18">
        <v>0</v>
      </c>
      <c r="G18" s="18">
        <v>60.7</v>
      </c>
      <c r="H18" s="30">
        <f>C18/C17-1</f>
        <v>0.103802281368821</v>
      </c>
      <c r="I18" s="30">
        <f>(E18+G18-F18-C18)/C18</f>
        <v>-0.859111264209439</v>
      </c>
      <c r="J18" s="30">
        <f>AVERAGE(K15:K18)</f>
        <v>-0.857459787936823</v>
      </c>
      <c r="K18" s="30">
        <f>('Cashflow'!E19-'Cashflow'!C19)/'Cashflow'!C19</f>
        <v>-0.788103302286198</v>
      </c>
    </row>
    <row r="19" ht="20.05" customHeight="1">
      <c r="B19" s="31">
        <v>2020</v>
      </c>
      <c r="C19" s="14">
        <v>679</v>
      </c>
      <c r="D19" s="15">
        <v>786.9</v>
      </c>
      <c r="E19" s="15">
        <v>143.081</v>
      </c>
      <c r="F19" s="18">
        <v>-33.9</v>
      </c>
      <c r="G19" s="18">
        <v>-15</v>
      </c>
      <c r="H19" s="30">
        <f>C19/C18-1</f>
        <v>-0.220346767711563</v>
      </c>
      <c r="I19" s="30">
        <f>(E19+G19-F19-C19)/C19</f>
        <v>-0.761441826215022</v>
      </c>
      <c r="J19" s="30">
        <f>AVERAGE(K16:K19)</f>
        <v>-0.870042864583609</v>
      </c>
      <c r="K19" s="30">
        <f>('Cashflow'!E20-'Cashflow'!C20)/'Cashflow'!C20</f>
        <v>-0.92020592020592</v>
      </c>
    </row>
    <row r="20" ht="20.05" customHeight="1">
      <c r="B20" s="29"/>
      <c r="C20" s="14">
        <v>281</v>
      </c>
      <c r="D20" s="15">
        <v>559.36</v>
      </c>
      <c r="E20" s="15">
        <v>138.919</v>
      </c>
      <c r="F20" s="18">
        <v>31.9</v>
      </c>
      <c r="G20" s="18">
        <v>-100</v>
      </c>
      <c r="H20" s="30">
        <f>C20/C19-1</f>
        <v>-0.5861561119293081</v>
      </c>
      <c r="I20" s="30">
        <f>(E20+G20-F20-C20)/C20</f>
        <v>-0.975021352313167</v>
      </c>
      <c r="J20" s="30">
        <f>AVERAGE(K17:K20)</f>
        <v>-0.844622995227543</v>
      </c>
      <c r="K20" s="30">
        <f>('Cashflow'!E21-'Cashflow'!C21)/'Cashflow'!C21</f>
        <v>-0.788961038961039</v>
      </c>
    </row>
    <row r="21" ht="20.05" customHeight="1">
      <c r="B21" s="29"/>
      <c r="C21" s="14">
        <v>497</v>
      </c>
      <c r="D21" s="15">
        <v>508.61</v>
      </c>
      <c r="E21" s="15">
        <v>140</v>
      </c>
      <c r="F21" s="18">
        <v>-6</v>
      </c>
      <c r="G21" s="18">
        <v>-33</v>
      </c>
      <c r="H21" s="30">
        <f>C21/C20-1</f>
        <v>0.7686832740213519</v>
      </c>
      <c r="I21" s="30">
        <f>(E21+G21-F21-C21)/C21</f>
        <v>-0.772635814889336</v>
      </c>
      <c r="J21" s="30">
        <f>AVERAGE(K18:K21)</f>
        <v>-0.842781916368774</v>
      </c>
      <c r="K21" s="30">
        <f>('Cashflow'!E22-'Cashflow'!C22)/'Cashflow'!C22</f>
        <v>-0.873857404021938</v>
      </c>
    </row>
    <row r="22" ht="20.05" customHeight="1">
      <c r="B22" s="29"/>
      <c r="C22" s="14">
        <f>2044.3-SUM(C19:C21)</f>
        <v>587.3</v>
      </c>
      <c r="D22" s="15">
        <v>571.55</v>
      </c>
      <c r="E22" s="15">
        <f>554.3-SUM(E19:E21)</f>
        <v>132.3</v>
      </c>
      <c r="F22" s="18">
        <f>-4.6-SUM(F19:F21)</f>
        <v>3.4</v>
      </c>
      <c r="G22" s="18">
        <f>-164.8-SUM(G19:G21)</f>
        <v>-16.8</v>
      </c>
      <c r="H22" s="30">
        <f>C22/C21-1</f>
        <v>0.18169014084507</v>
      </c>
      <c r="I22" s="30">
        <f>(E22+G22-F22-C22)/C22</f>
        <v>-0.809126511152733</v>
      </c>
      <c r="J22" s="30">
        <f>AVERAGE(K19:K22)</f>
        <v>-0.807369045234437</v>
      </c>
      <c r="K22" s="30">
        <f>('Cashflow'!E23-'Cashflow'!C23)/'Cashflow'!C23</f>
        <v>-0.646451817748849</v>
      </c>
    </row>
    <row r="23" ht="20.05" customHeight="1">
      <c r="B23" s="31">
        <v>2021</v>
      </c>
      <c r="C23" s="14">
        <v>552</v>
      </c>
      <c r="D23" s="15">
        <v>634.284</v>
      </c>
      <c r="E23" s="15">
        <v>126</v>
      </c>
      <c r="F23" s="18">
        <v>-3.7</v>
      </c>
      <c r="G23" s="18">
        <v>-23</v>
      </c>
      <c r="H23" s="30">
        <f>C23/C22-1</f>
        <v>-0.0601055678528861</v>
      </c>
      <c r="I23" s="30">
        <f>(E23+G23-F23-C23)/C23</f>
        <v>-0.806702898550725</v>
      </c>
      <c r="J23" s="30">
        <f>AVERAGE(K20:K23)</f>
        <v>-0.7818995587520881</v>
      </c>
      <c r="K23" s="30">
        <f>('Cashflow'!E24-'Cashflow'!C24)/'Cashflow'!C24</f>
        <v>-0.818327974276527</v>
      </c>
    </row>
    <row r="24" ht="20.05" customHeight="1">
      <c r="B24" s="29"/>
      <c r="C24" s="14">
        <v>624</v>
      </c>
      <c r="D24" s="15">
        <v>579.6</v>
      </c>
      <c r="E24" s="15">
        <v>137</v>
      </c>
      <c r="F24" s="18">
        <f>-3.1-F23</f>
        <v>0.6</v>
      </c>
      <c r="G24" s="18">
        <v>3</v>
      </c>
      <c r="H24" s="30">
        <f>C24/C23-1</f>
        <v>0.130434782608696</v>
      </c>
      <c r="I24" s="30">
        <f>(E24+G24-F24-C24)/C24</f>
        <v>-0.776602564102564</v>
      </c>
      <c r="J24" s="30">
        <f>AVERAGE(K21:K24)</f>
        <v>-0.812325005063702</v>
      </c>
      <c r="K24" s="30">
        <f>('Cashflow'!E25-'Cashflow'!C25)/'Cashflow'!C25</f>
        <v>-0.910662824207493</v>
      </c>
    </row>
    <row r="25" ht="20.05" customHeight="1">
      <c r="B25" s="29"/>
      <c r="C25" s="14">
        <f>1652.1-SUM(C23:C24)</f>
        <v>476.1</v>
      </c>
      <c r="D25" s="15">
        <v>624</v>
      </c>
      <c r="E25" s="15">
        <f>393-SUM(E23:E24)</f>
        <v>130</v>
      </c>
      <c r="F25" s="18">
        <f>-1.9-SUM(F23:F24)</f>
        <v>1.2</v>
      </c>
      <c r="G25" s="18">
        <f>-74-SUM(G23:G24)</f>
        <v>-54</v>
      </c>
      <c r="H25" s="30">
        <f>C25/C24-1</f>
        <v>-0.237019230769231</v>
      </c>
      <c r="I25" s="30">
        <f>(E25+G25-F25-C25)/C25</f>
        <v>-0.842890149128334</v>
      </c>
      <c r="J25" s="30">
        <f>AVERAGE(K22:K25)</f>
        <v>-0.8061104157360059</v>
      </c>
      <c r="K25" s="30">
        <f>('Cashflow'!E26-'Cashflow'!C26)/'Cashflow'!C26</f>
        <v>-0.848999046711153</v>
      </c>
    </row>
    <row r="26" ht="20.05" customHeight="1">
      <c r="B26" s="29"/>
      <c r="C26" s="14"/>
      <c r="D26" s="15">
        <f>'Model'!C6</f>
        <v>595.125</v>
      </c>
      <c r="E26" s="15"/>
      <c r="F26" s="18"/>
      <c r="G26" s="18"/>
      <c r="H26" s="30"/>
      <c r="I26" s="30">
        <f>'Model'!C7</f>
        <v>-0.8061104157360059</v>
      </c>
      <c r="J26" s="20"/>
      <c r="K26" s="30"/>
    </row>
    <row r="27" ht="20.05" customHeight="1">
      <c r="B27" s="31">
        <v>2022</v>
      </c>
      <c r="C27" s="14"/>
      <c r="D27" s="15">
        <f>'Model'!D6</f>
        <v>601.07625</v>
      </c>
      <c r="E27" s="15"/>
      <c r="F27" s="18"/>
      <c r="G27" s="18"/>
      <c r="H27" s="30"/>
      <c r="I27" s="30"/>
      <c r="J27" s="30"/>
      <c r="K27" s="30"/>
    </row>
    <row r="28" ht="20.05" customHeight="1">
      <c r="B28" s="29"/>
      <c r="C28" s="14"/>
      <c r="D28" s="15">
        <f>'Model'!E6</f>
        <v>643.1515875</v>
      </c>
      <c r="E28" s="15"/>
      <c r="F28" s="18"/>
      <c r="G28" s="18"/>
      <c r="H28" s="30"/>
      <c r="I28" s="30"/>
      <c r="J28" s="30"/>
      <c r="K28" s="30"/>
    </row>
    <row r="29" ht="20.05" customHeight="1">
      <c r="B29" s="29"/>
      <c r="C29" s="14"/>
      <c r="D29" s="15">
        <f>'Model'!F6</f>
        <v>688.172198625</v>
      </c>
      <c r="E29" s="15"/>
      <c r="F29" s="18"/>
      <c r="G29" s="18"/>
      <c r="H29" s="30"/>
      <c r="I29" s="30"/>
      <c r="J29" s="30"/>
      <c r="K29" s="30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46094" style="32" customWidth="1"/>
    <col min="2" max="2" width="8.35938" style="32" customWidth="1"/>
    <col min="3" max="13" width="10.2266" style="32" customWidth="1"/>
    <col min="14" max="16384" width="16.3516" style="32" customWidth="1"/>
  </cols>
  <sheetData>
    <row r="1" ht="30.6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48</v>
      </c>
      <c r="D3" t="s" s="4">
        <v>49</v>
      </c>
      <c r="E3" t="s" s="4">
        <v>8</v>
      </c>
      <c r="F3" t="s" s="4">
        <v>9</v>
      </c>
      <c r="G3" t="s" s="4">
        <v>50</v>
      </c>
      <c r="H3" t="s" s="4">
        <v>12</v>
      </c>
      <c r="I3" t="s" s="4">
        <v>13</v>
      </c>
      <c r="J3" t="s" s="4">
        <v>11</v>
      </c>
      <c r="K3" t="s" s="4">
        <v>51</v>
      </c>
      <c r="L3" t="s" s="4">
        <v>47</v>
      </c>
      <c r="M3" t="s" s="4">
        <v>52</v>
      </c>
    </row>
    <row r="4" ht="20.25" customHeight="1">
      <c r="B4" s="24">
        <v>2016</v>
      </c>
      <c r="C4" s="33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20.05" customHeight="1">
      <c r="B5" s="29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0.05" customHeight="1">
      <c r="B6" s="29"/>
      <c r="C6" s="17">
        <v>439</v>
      </c>
      <c r="D6" s="18"/>
      <c r="E6" s="18">
        <v>58</v>
      </c>
      <c r="F6" s="18">
        <v>-59</v>
      </c>
      <c r="G6" s="18"/>
      <c r="H6" s="18"/>
      <c r="I6" s="18"/>
      <c r="J6" s="18">
        <v>-13</v>
      </c>
      <c r="K6" s="18">
        <f>E6+F6+G6</f>
        <v>-1</v>
      </c>
      <c r="L6" s="18"/>
      <c r="M6" s="18">
        <f>-(J6-G6)</f>
        <v>13</v>
      </c>
    </row>
    <row r="7" ht="20.05" customHeight="1">
      <c r="B7" s="29"/>
      <c r="C7" s="17">
        <v>450</v>
      </c>
      <c r="D7" s="18"/>
      <c r="E7" s="18">
        <v>110</v>
      </c>
      <c r="F7" s="18">
        <v>-60</v>
      </c>
      <c r="G7" s="18"/>
      <c r="H7" s="18"/>
      <c r="I7" s="18"/>
      <c r="J7" s="18">
        <v>310</v>
      </c>
      <c r="K7" s="18">
        <f>E7+F7+G7</f>
        <v>50</v>
      </c>
      <c r="L7" s="18"/>
      <c r="M7" s="18">
        <f>-(J7-G7)+M6</f>
        <v>-297</v>
      </c>
    </row>
    <row r="8" ht="20.05" customHeight="1">
      <c r="B8" s="31">
        <v>2017</v>
      </c>
      <c r="C8" s="17">
        <v>430</v>
      </c>
      <c r="D8" s="18"/>
      <c r="E8" s="18">
        <v>65</v>
      </c>
      <c r="F8" s="18">
        <v>-60</v>
      </c>
      <c r="G8" s="18"/>
      <c r="H8" s="18"/>
      <c r="I8" s="18"/>
      <c r="J8" s="18">
        <v>-31</v>
      </c>
      <c r="K8" s="18">
        <f>E8+F8+G8</f>
        <v>5</v>
      </c>
      <c r="L8" s="18">
        <f>AVERAGE(K5:K8)</f>
        <v>18</v>
      </c>
      <c r="M8" s="18">
        <f>-(J8-G8)+M7</f>
        <v>-266</v>
      </c>
    </row>
    <row r="9" ht="20.05" customHeight="1">
      <c r="B9" s="29"/>
      <c r="C9" s="17">
        <v>402</v>
      </c>
      <c r="D9" s="18"/>
      <c r="E9" s="18">
        <v>30</v>
      </c>
      <c r="F9" s="18">
        <v>-35</v>
      </c>
      <c r="G9" s="18"/>
      <c r="H9" s="18"/>
      <c r="I9" s="18"/>
      <c r="J9" s="18">
        <v>7</v>
      </c>
      <c r="K9" s="18">
        <f>E9+F9+G9</f>
        <v>-5</v>
      </c>
      <c r="L9" s="18">
        <f>AVERAGE(K6:K9)</f>
        <v>12.25</v>
      </c>
      <c r="M9" s="18">
        <f>-(J9-G9)+M8</f>
        <v>-273</v>
      </c>
    </row>
    <row r="10" ht="20.05" customHeight="1">
      <c r="B10" s="29"/>
      <c r="C10" s="17">
        <v>745</v>
      </c>
      <c r="D10" s="18"/>
      <c r="E10" s="18">
        <v>60</v>
      </c>
      <c r="F10" s="18">
        <v>-98</v>
      </c>
      <c r="G10" s="18"/>
      <c r="H10" s="18"/>
      <c r="I10" s="18"/>
      <c r="J10" s="18">
        <v>-8</v>
      </c>
      <c r="K10" s="18">
        <f>E10+F10+G10</f>
        <v>-38</v>
      </c>
      <c r="L10" s="18">
        <f>AVERAGE(K7:K10)</f>
        <v>3</v>
      </c>
      <c r="M10" s="18">
        <f>-(J10-G10)+M9</f>
        <v>-265</v>
      </c>
    </row>
    <row r="11" ht="20.05" customHeight="1">
      <c r="B11" s="29"/>
      <c r="C11" s="17">
        <v>654</v>
      </c>
      <c r="D11" s="18"/>
      <c r="E11" s="18">
        <v>139.5</v>
      </c>
      <c r="F11" s="18">
        <v>-148</v>
      </c>
      <c r="G11" s="18"/>
      <c r="H11" s="18"/>
      <c r="I11" s="18"/>
      <c r="J11" s="18">
        <v>-4</v>
      </c>
      <c r="K11" s="18">
        <f>E11+F11+G11</f>
        <v>-8.5</v>
      </c>
      <c r="L11" s="18">
        <f>AVERAGE(K8:K11)</f>
        <v>-11.625</v>
      </c>
      <c r="M11" s="18">
        <f>-(J11-G11)+M10</f>
        <v>-261</v>
      </c>
    </row>
    <row r="12" ht="20.05" customHeight="1">
      <c r="B12" s="31">
        <v>2018</v>
      </c>
      <c r="C12" s="17">
        <v>624</v>
      </c>
      <c r="D12" s="18"/>
      <c r="E12" s="18">
        <v>105</v>
      </c>
      <c r="F12" s="18">
        <v>-74</v>
      </c>
      <c r="G12" s="18"/>
      <c r="H12" s="18"/>
      <c r="I12" s="18"/>
      <c r="J12" s="18">
        <v>-45</v>
      </c>
      <c r="K12" s="18">
        <f>E12+F12+G12</f>
        <v>31</v>
      </c>
      <c r="L12" s="18">
        <f>AVERAGE(K9:K12)</f>
        <v>-5.125</v>
      </c>
      <c r="M12" s="18">
        <f>-(J12-G12)+M11</f>
        <v>-216</v>
      </c>
    </row>
    <row r="13" ht="20.05" customHeight="1">
      <c r="B13" s="29"/>
      <c r="C13" s="17">
        <v>731</v>
      </c>
      <c r="D13" s="18"/>
      <c r="E13" s="18">
        <v>75</v>
      </c>
      <c r="F13" s="18">
        <v>-67</v>
      </c>
      <c r="G13" s="18"/>
      <c r="H13" s="18"/>
      <c r="I13" s="18"/>
      <c r="J13" s="18">
        <v>59</v>
      </c>
      <c r="K13" s="18">
        <f>E13+F13+G13</f>
        <v>8</v>
      </c>
      <c r="L13" s="18">
        <f>AVERAGE(K10:K13)</f>
        <v>-1.875</v>
      </c>
      <c r="M13" s="18">
        <f>-(J13-G13)+M12</f>
        <v>-275</v>
      </c>
    </row>
    <row r="14" ht="20.05" customHeight="1">
      <c r="B14" s="29"/>
      <c r="C14" s="17">
        <v>735</v>
      </c>
      <c r="D14" s="18"/>
      <c r="E14" s="18">
        <v>64</v>
      </c>
      <c r="F14" s="18">
        <v>-145</v>
      </c>
      <c r="G14" s="18"/>
      <c r="H14" s="18"/>
      <c r="I14" s="18"/>
      <c r="J14" s="18">
        <v>-75</v>
      </c>
      <c r="K14" s="18">
        <f>E14+F14+G14</f>
        <v>-81</v>
      </c>
      <c r="L14" s="18">
        <f>AVERAGE(K11:K14)</f>
        <v>-12.625</v>
      </c>
      <c r="M14" s="18">
        <f>-(J14-G14)+M13</f>
        <v>-200</v>
      </c>
    </row>
    <row r="15" ht="20.05" customHeight="1">
      <c r="B15" s="29"/>
      <c r="C15" s="17">
        <v>722.3</v>
      </c>
      <c r="D15" s="18"/>
      <c r="E15" s="18">
        <v>136.8</v>
      </c>
      <c r="F15" s="18">
        <v>-155.5</v>
      </c>
      <c r="G15" s="18"/>
      <c r="H15" s="18"/>
      <c r="I15" s="18"/>
      <c r="J15" s="18">
        <v>29.7</v>
      </c>
      <c r="K15" s="18">
        <f>E15+F15+G15</f>
        <v>-18.7</v>
      </c>
      <c r="L15" s="18">
        <f>AVERAGE(K12:K15)</f>
        <v>-15.175</v>
      </c>
      <c r="M15" s="18">
        <f>-(J15-G15)+M14</f>
        <v>-229.7</v>
      </c>
    </row>
    <row r="16" ht="20.05" customHeight="1">
      <c r="B16" s="31">
        <v>2019</v>
      </c>
      <c r="C16" s="17">
        <v>775.4</v>
      </c>
      <c r="D16" s="18"/>
      <c r="E16" s="18">
        <v>100.9</v>
      </c>
      <c r="F16" s="18">
        <v>-97.5</v>
      </c>
      <c r="G16" s="18"/>
      <c r="H16" s="18"/>
      <c r="I16" s="18"/>
      <c r="J16" s="18">
        <v>-8.1</v>
      </c>
      <c r="K16" s="18">
        <f>E16+F16+G16</f>
        <v>3.4</v>
      </c>
      <c r="L16" s="18">
        <f>AVERAGE(K13:K16)</f>
        <v>-22.075</v>
      </c>
      <c r="M16" s="18">
        <f>-(J16-G16)+M15</f>
        <v>-221.6</v>
      </c>
    </row>
    <row r="17" ht="20.05" customHeight="1">
      <c r="B17" s="29"/>
      <c r="C17" s="17">
        <v>805.6</v>
      </c>
      <c r="D17" s="18"/>
      <c r="E17" s="18">
        <v>88.09999999999999</v>
      </c>
      <c r="F17" s="18">
        <v>-90.5</v>
      </c>
      <c r="G17" s="18"/>
      <c r="H17" s="18"/>
      <c r="I17" s="18"/>
      <c r="J17" s="18">
        <v>15.1</v>
      </c>
      <c r="K17" s="18">
        <f>E17+F17+G17</f>
        <v>-2.4</v>
      </c>
      <c r="L17" s="18">
        <f>AVERAGE(K14:K17)</f>
        <v>-24.675</v>
      </c>
      <c r="M17" s="18">
        <f>-(J17-G17)+M16</f>
        <v>-236.7</v>
      </c>
    </row>
    <row r="18" ht="20.05" customHeight="1">
      <c r="B18" s="29"/>
      <c r="C18" s="17">
        <v>884</v>
      </c>
      <c r="D18" s="18"/>
      <c r="E18" s="18">
        <v>105</v>
      </c>
      <c r="F18" s="18">
        <v>-114</v>
      </c>
      <c r="G18" s="18"/>
      <c r="H18" s="18"/>
      <c r="I18" s="18"/>
      <c r="J18" s="18">
        <v>-27</v>
      </c>
      <c r="K18" s="18">
        <f>E18+F18+G18</f>
        <v>-9</v>
      </c>
      <c r="L18" s="18">
        <f>AVERAGE(K15:K18)</f>
        <v>-6.675</v>
      </c>
      <c r="M18" s="18">
        <f>-(J18-G18)+M17</f>
        <v>-209.7</v>
      </c>
    </row>
    <row r="19" ht="20.05" customHeight="1">
      <c r="B19" s="29"/>
      <c r="C19" s="17">
        <v>944.8</v>
      </c>
      <c r="D19" s="18"/>
      <c r="E19" s="18">
        <v>200.2</v>
      </c>
      <c r="F19" s="18">
        <v>-120.5</v>
      </c>
      <c r="G19" s="18"/>
      <c r="H19" s="18"/>
      <c r="I19" s="18"/>
      <c r="J19" s="18">
        <v>2</v>
      </c>
      <c r="K19" s="18">
        <f>E19+F19+G19</f>
        <v>79.7</v>
      </c>
      <c r="L19" s="18">
        <f>AVERAGE(K16:K19)</f>
        <v>17.925</v>
      </c>
      <c r="M19" s="18">
        <f>-(J19-G19)+M18</f>
        <v>-211.7</v>
      </c>
    </row>
    <row r="20" ht="20.05" customHeight="1">
      <c r="B20" s="31">
        <v>2020</v>
      </c>
      <c r="C20" s="17">
        <v>777</v>
      </c>
      <c r="D20" s="18"/>
      <c r="E20" s="18">
        <v>62</v>
      </c>
      <c r="F20" s="18">
        <v>-77</v>
      </c>
      <c r="G20" s="18">
        <v>-121</v>
      </c>
      <c r="H20" s="18"/>
      <c r="I20" s="18"/>
      <c r="J20" s="18">
        <v>-9</v>
      </c>
      <c r="K20" s="18">
        <f>E20+F20+G20</f>
        <v>-136</v>
      </c>
      <c r="L20" s="18">
        <f>AVERAGE(K17:K20)</f>
        <v>-16.925</v>
      </c>
      <c r="M20" s="18">
        <f>-(J20-G20)+M19</f>
        <v>-323.7</v>
      </c>
    </row>
    <row r="21" ht="20.05" customHeight="1">
      <c r="B21" s="29"/>
      <c r="C21" s="17">
        <v>308</v>
      </c>
      <c r="D21" s="18"/>
      <c r="E21" s="18">
        <v>65</v>
      </c>
      <c r="F21" s="18">
        <v>-3</v>
      </c>
      <c r="G21" s="18">
        <v>-24.3333333333333</v>
      </c>
      <c r="H21" s="18"/>
      <c r="I21" s="18"/>
      <c r="J21" s="18">
        <v>2.5</v>
      </c>
      <c r="K21" s="18">
        <f>E21+F21+G21</f>
        <v>37.6666666666667</v>
      </c>
      <c r="L21" s="18">
        <f>AVERAGE(K18:K21)</f>
        <v>-6.90833333333333</v>
      </c>
      <c r="M21" s="18">
        <f>-(J21-G21)+M20</f>
        <v>-350.533333333333</v>
      </c>
    </row>
    <row r="22" ht="20.05" customHeight="1">
      <c r="B22" s="29"/>
      <c r="C22" s="17">
        <v>547</v>
      </c>
      <c r="D22" s="18"/>
      <c r="E22" s="18">
        <v>69</v>
      </c>
      <c r="F22" s="18">
        <v>-46</v>
      </c>
      <c r="G22" s="18">
        <v>-24.3333333333333</v>
      </c>
      <c r="H22" s="18"/>
      <c r="I22" s="18"/>
      <c r="J22" s="18">
        <v>0</v>
      </c>
      <c r="K22" s="18">
        <f>E22+F22+G22</f>
        <v>-1.3333333333333</v>
      </c>
      <c r="L22" s="18">
        <f>AVERAGE(K19:K22)</f>
        <v>-4.99166666666665</v>
      </c>
      <c r="M22" s="18">
        <f>-(J22-G22)+M21</f>
        <v>-374.866666666666</v>
      </c>
    </row>
    <row r="23" ht="20.05" customHeight="1">
      <c r="B23" s="29"/>
      <c r="C23" s="17">
        <f>2261.9-SUM(C20:C22)</f>
        <v>629.9</v>
      </c>
      <c r="D23" s="18"/>
      <c r="E23" s="18">
        <f>418.7-SUM(E20:E22)</f>
        <v>222.7</v>
      </c>
      <c r="F23" s="18">
        <f>-191.9-SUM(F20:F22)</f>
        <v>-65.90000000000001</v>
      </c>
      <c r="G23" s="18">
        <v>-24.3333333333333</v>
      </c>
      <c r="H23" s="18"/>
      <c r="I23" s="18"/>
      <c r="J23" s="18">
        <f>-204.7-SUM(J20:J22)</f>
        <v>-198.2</v>
      </c>
      <c r="K23" s="18">
        <f>E23+F23+G23</f>
        <v>132.466666666667</v>
      </c>
      <c r="L23" s="18">
        <f>AVERAGE(K20:K23)</f>
        <v>8.200000000000101</v>
      </c>
      <c r="M23" s="18">
        <f>-(J23-G23)+M22</f>
        <v>-200.999999999999</v>
      </c>
    </row>
    <row r="24" ht="20.05" customHeight="1">
      <c r="B24" s="31">
        <v>2021</v>
      </c>
      <c r="C24" s="17">
        <v>622</v>
      </c>
      <c r="D24" s="18">
        <v>-16</v>
      </c>
      <c r="E24" s="18">
        <v>113</v>
      </c>
      <c r="F24" s="18">
        <v>-45</v>
      </c>
      <c r="G24" s="18">
        <v>-55</v>
      </c>
      <c r="H24" s="18">
        <f>-73.6-G24</f>
        <v>-18.6</v>
      </c>
      <c r="I24" s="18"/>
      <c r="J24" s="18">
        <v>-74</v>
      </c>
      <c r="K24" s="18">
        <f>E24+F24+G24</f>
        <v>13</v>
      </c>
      <c r="L24" s="18">
        <f>AVERAGE(K21:K24)</f>
        <v>45.4500000000001</v>
      </c>
      <c r="M24" s="18">
        <f>-(H24+I24)+M23</f>
        <v>-182.399999999999</v>
      </c>
    </row>
    <row r="25" ht="20.05" customHeight="1">
      <c r="B25" s="29"/>
      <c r="C25" s="17">
        <v>694</v>
      </c>
      <c r="D25" s="18">
        <v>-16</v>
      </c>
      <c r="E25" s="18">
        <v>62</v>
      </c>
      <c r="F25" s="18">
        <v>-46</v>
      </c>
      <c r="G25" s="18">
        <f>-120.481-G24</f>
        <v>-65.48099999999999</v>
      </c>
      <c r="H25" s="18">
        <f>-168.164-G25-G24-H24</f>
        <v>-29.083</v>
      </c>
      <c r="I25" s="18"/>
      <c r="J25" s="18">
        <v>-94</v>
      </c>
      <c r="K25" s="18">
        <f>E25+F25+G25</f>
        <v>-49.481</v>
      </c>
      <c r="L25" s="18">
        <f>AVERAGE(K22:K25)</f>
        <v>23.6630833333334</v>
      </c>
      <c r="M25" s="18">
        <f>-(H25+I25)+M24</f>
        <v>-153.316999999999</v>
      </c>
    </row>
    <row r="26" ht="20.05" customHeight="1">
      <c r="B26" s="29"/>
      <c r="C26" s="17">
        <f>1840.5-SUM(C24:C25)</f>
        <v>524.5</v>
      </c>
      <c r="D26" s="18">
        <f>-277.1-SUM(D24:D25)</f>
        <v>-245.1</v>
      </c>
      <c r="E26" s="18">
        <f>254.2-SUM(E24:E25)</f>
        <v>79.2</v>
      </c>
      <c r="F26" s="18">
        <f>-134.8-SUM(F24:F25)</f>
        <v>-43.8</v>
      </c>
      <c r="G26" s="18">
        <f>-164.1-SUM(G24:G25)</f>
        <v>-43.619</v>
      </c>
      <c r="H26" s="18">
        <f>-224.556-G26-G25-G24-H25-H24</f>
        <v>-12.773</v>
      </c>
      <c r="I26" s="18"/>
      <c r="J26" s="18">
        <f>-224.6-SUM(J24:J25)</f>
        <v>-56.6</v>
      </c>
      <c r="K26" s="18">
        <f>E26+F26+G26</f>
        <v>-8.218999999999999</v>
      </c>
      <c r="L26" s="18">
        <f>AVERAGE(K23:K26)</f>
        <v>21.9416666666668</v>
      </c>
      <c r="M26" s="18">
        <f>-(H26+I26)+M25</f>
        <v>-140.543999999999</v>
      </c>
    </row>
    <row r="27" ht="20.05" customHeight="1">
      <c r="B27" s="29"/>
      <c r="C27" s="17"/>
      <c r="D27" s="18"/>
      <c r="E27" s="18"/>
      <c r="F27" s="18"/>
      <c r="G27" s="18"/>
      <c r="H27" s="18"/>
      <c r="I27" s="18"/>
      <c r="J27" s="18"/>
      <c r="K27" s="18"/>
      <c r="L27" s="18">
        <f>SUM('Model'!F9:F11)</f>
        <v>46.010421493440</v>
      </c>
      <c r="M27" s="18">
        <f>'Model'!F33</f>
        <v>-74.704236051967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156" style="34" customWidth="1"/>
    <col min="2" max="2" width="9.36719" style="34" customWidth="1"/>
    <col min="3" max="11" width="9.54688" style="34" customWidth="1"/>
    <col min="12" max="16384" width="16.3516" style="34" customWidth="1"/>
  </cols>
  <sheetData>
    <row r="1" ht="93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53</v>
      </c>
      <c r="D3" t="s" s="4">
        <v>54</v>
      </c>
      <c r="E3" t="s" s="4">
        <v>55</v>
      </c>
      <c r="F3" t="s" s="4">
        <v>24</v>
      </c>
      <c r="G3" t="s" s="4">
        <v>12</v>
      </c>
      <c r="H3" t="s" s="4">
        <v>13</v>
      </c>
      <c r="I3" t="s" s="4">
        <v>26</v>
      </c>
      <c r="J3" t="s" s="4">
        <v>56</v>
      </c>
      <c r="K3" t="s" s="4">
        <v>34</v>
      </c>
    </row>
    <row r="4" ht="20.25" customHeight="1">
      <c r="B4" s="24">
        <v>2017</v>
      </c>
      <c r="C4" s="33"/>
      <c r="D4" s="27">
        <v>0</v>
      </c>
      <c r="E4" s="27"/>
      <c r="F4" s="35"/>
      <c r="G4" s="27">
        <v>0</v>
      </c>
      <c r="H4" s="27"/>
      <c r="I4" s="27">
        <f>G4+H4-C4-E4</f>
        <v>0</v>
      </c>
      <c r="J4" s="27">
        <f>C4-G4</f>
        <v>0</v>
      </c>
      <c r="K4" s="27"/>
    </row>
    <row r="5" ht="20.05" customHeight="1">
      <c r="B5" s="29"/>
      <c r="C5" s="17">
        <v>383</v>
      </c>
      <c r="D5" s="18">
        <v>1418</v>
      </c>
      <c r="E5" s="18">
        <f>D5-C5</f>
        <v>1035</v>
      </c>
      <c r="F5" s="36"/>
      <c r="G5" s="18">
        <v>508</v>
      </c>
      <c r="H5" s="18">
        <v>909</v>
      </c>
      <c r="I5" s="18">
        <f>G5+H5-C5-E5</f>
        <v>-1</v>
      </c>
      <c r="J5" s="18">
        <f>C5-G5</f>
        <v>-125</v>
      </c>
      <c r="K5" s="18"/>
    </row>
    <row r="6" ht="20.05" customHeight="1">
      <c r="B6" s="29"/>
      <c r="C6" s="17">
        <v>337</v>
      </c>
      <c r="D6" s="18">
        <v>1403</v>
      </c>
      <c r="E6" s="18">
        <f>D6-C6</f>
        <v>1066</v>
      </c>
      <c r="F6" s="36"/>
      <c r="G6" s="18">
        <v>458</v>
      </c>
      <c r="H6" s="18">
        <v>944</v>
      </c>
      <c r="I6" s="18">
        <f>G6+H6-C6-E6</f>
        <v>-1</v>
      </c>
      <c r="J6" s="18">
        <f>C6-G6</f>
        <v>-121</v>
      </c>
      <c r="K6" s="18"/>
    </row>
    <row r="7" ht="20.05" customHeight="1">
      <c r="B7" s="29"/>
      <c r="C7" s="17">
        <v>371.9</v>
      </c>
      <c r="D7" s="18">
        <v>1669.9</v>
      </c>
      <c r="E7" s="18">
        <f>D7-C7</f>
        <v>1298</v>
      </c>
      <c r="F7" s="36"/>
      <c r="G7" s="18">
        <v>680</v>
      </c>
      <c r="H7" s="18">
        <v>989.9</v>
      </c>
      <c r="I7" s="18">
        <f>G7+H7-C7-E7</f>
        <v>0</v>
      </c>
      <c r="J7" s="18">
        <f>C7-G7</f>
        <v>-308.1</v>
      </c>
      <c r="K7" s="18"/>
    </row>
    <row r="8" ht="20.05" customHeight="1">
      <c r="B8" s="31">
        <v>2018</v>
      </c>
      <c r="C8" s="17">
        <v>355</v>
      </c>
      <c r="D8" s="18">
        <v>1526</v>
      </c>
      <c r="E8" s="18">
        <f>D8-C8</f>
        <v>1171</v>
      </c>
      <c r="F8" s="36"/>
      <c r="G8" s="18">
        <v>516</v>
      </c>
      <c r="H8" s="18">
        <v>1010</v>
      </c>
      <c r="I8" s="18">
        <f>G8+H8-C8-E8</f>
        <v>0</v>
      </c>
      <c r="J8" s="18">
        <f>C8-G8</f>
        <v>-161</v>
      </c>
      <c r="K8" s="18"/>
    </row>
    <row r="9" ht="20.05" customHeight="1">
      <c r="B9" s="29"/>
      <c r="C9" s="17">
        <v>406</v>
      </c>
      <c r="D9" s="18">
        <v>1621</v>
      </c>
      <c r="E9" s="18">
        <f>D9-C9</f>
        <v>1215</v>
      </c>
      <c r="F9" s="36"/>
      <c r="G9" s="18">
        <v>586</v>
      </c>
      <c r="H9" s="18">
        <v>1036</v>
      </c>
      <c r="I9" s="18">
        <f>G9+H9-C9-E9</f>
        <v>1</v>
      </c>
      <c r="J9" s="18">
        <f>C9-G9</f>
        <v>-180</v>
      </c>
      <c r="K9" s="18"/>
    </row>
    <row r="10" ht="20.05" customHeight="1">
      <c r="B10" s="29"/>
      <c r="C10" s="17">
        <v>268</v>
      </c>
      <c r="D10" s="18">
        <v>1652</v>
      </c>
      <c r="E10" s="18">
        <f>D10-C10</f>
        <v>1384</v>
      </c>
      <c r="F10" s="36"/>
      <c r="G10" s="18">
        <v>605</v>
      </c>
      <c r="H10" s="18">
        <v>1047</v>
      </c>
      <c r="I10" s="18">
        <f>G10+H10-C10-E10</f>
        <v>0</v>
      </c>
      <c r="J10" s="18">
        <f>C10-G10</f>
        <v>-337</v>
      </c>
      <c r="K10" s="18"/>
    </row>
    <row r="11" ht="20.05" customHeight="1">
      <c r="B11" s="29"/>
      <c r="C11" s="17">
        <v>280</v>
      </c>
      <c r="D11" s="18">
        <v>1740.8</v>
      </c>
      <c r="E11" s="18">
        <f>D11-C11</f>
        <v>1460.8</v>
      </c>
      <c r="F11" s="36"/>
      <c r="G11" s="18">
        <v>659.6</v>
      </c>
      <c r="H11" s="18">
        <v>1081.4</v>
      </c>
      <c r="I11" s="18">
        <f>G11+H11-C11-E11</f>
        <v>0.2</v>
      </c>
      <c r="J11" s="18">
        <f>C11-G11</f>
        <v>-379.6</v>
      </c>
      <c r="K11" s="18"/>
    </row>
    <row r="12" ht="20.05" customHeight="1">
      <c r="B12" s="31">
        <v>2019</v>
      </c>
      <c r="C12" s="17">
        <v>275.3</v>
      </c>
      <c r="D12" s="18">
        <v>1851.7</v>
      </c>
      <c r="E12" s="18">
        <f>D12-C12</f>
        <v>1576.4</v>
      </c>
      <c r="F12" s="36"/>
      <c r="G12" s="18">
        <v>753</v>
      </c>
      <c r="H12" s="18">
        <v>1099</v>
      </c>
      <c r="I12" s="18">
        <f>G12+H12-C12-E12</f>
        <v>0.3</v>
      </c>
      <c r="J12" s="18">
        <f>C12-G12</f>
        <v>-477.7</v>
      </c>
      <c r="K12" s="18"/>
    </row>
    <row r="13" ht="20.05" customHeight="1">
      <c r="B13" s="29"/>
      <c r="C13" s="17">
        <v>287</v>
      </c>
      <c r="D13" s="18">
        <v>1943</v>
      </c>
      <c r="E13" s="18">
        <f>D13-C13</f>
        <v>1656</v>
      </c>
      <c r="F13" s="36"/>
      <c r="G13" s="18">
        <v>812</v>
      </c>
      <c r="H13" s="18">
        <v>1132</v>
      </c>
      <c r="I13" s="18">
        <f>G13+H13-C13-E13</f>
        <v>1</v>
      </c>
      <c r="J13" s="18">
        <f>C13-G13</f>
        <v>-525</v>
      </c>
      <c r="K13" s="18"/>
    </row>
    <row r="14" ht="20.05" customHeight="1">
      <c r="B14" s="29"/>
      <c r="C14" s="17">
        <v>252</v>
      </c>
      <c r="D14" s="18">
        <v>1984</v>
      </c>
      <c r="E14" s="18">
        <f>D14-C14</f>
        <v>1732</v>
      </c>
      <c r="F14" s="36"/>
      <c r="G14" s="18">
        <v>804</v>
      </c>
      <c r="H14" s="18">
        <v>1180</v>
      </c>
      <c r="I14" s="18">
        <f>G14+H14-C14-E14</f>
        <v>0</v>
      </c>
      <c r="J14" s="18">
        <f>C14-G14</f>
        <v>-552</v>
      </c>
      <c r="K14" s="18"/>
    </row>
    <row r="15" ht="20.05" customHeight="1">
      <c r="B15" s="29"/>
      <c r="C15" s="17">
        <v>334</v>
      </c>
      <c r="D15" s="18">
        <v>2067</v>
      </c>
      <c r="E15" s="18">
        <f>D15-C15</f>
        <v>1733</v>
      </c>
      <c r="F15" s="36"/>
      <c r="G15" s="18">
        <v>831.5</v>
      </c>
      <c r="H15" s="18">
        <v>1235.7</v>
      </c>
      <c r="I15" s="18">
        <f>G15+H15-C15-E15</f>
        <v>0.2</v>
      </c>
      <c r="J15" s="18">
        <f>C15-G15</f>
        <v>-497.5</v>
      </c>
      <c r="K15" s="18"/>
    </row>
    <row r="16" ht="20.05" customHeight="1">
      <c r="B16" s="31">
        <v>2020</v>
      </c>
      <c r="C16" s="17">
        <v>310</v>
      </c>
      <c r="D16" s="18">
        <v>2684</v>
      </c>
      <c r="E16" s="18">
        <f>D16-C16</f>
        <v>2374</v>
      </c>
      <c r="F16" s="36"/>
      <c r="G16" s="18">
        <v>1513</v>
      </c>
      <c r="H16" s="18">
        <v>1171</v>
      </c>
      <c r="I16" s="18">
        <f>G16+H16-C16-E16</f>
        <v>0</v>
      </c>
      <c r="J16" s="18">
        <f>C16-G16</f>
        <v>-1203</v>
      </c>
      <c r="K16" s="18"/>
    </row>
    <row r="17" ht="20.05" customHeight="1">
      <c r="B17" s="29"/>
      <c r="C17" s="17">
        <v>375</v>
      </c>
      <c r="D17" s="18">
        <v>2656</v>
      </c>
      <c r="E17" s="18">
        <f>D17-C17</f>
        <v>2281</v>
      </c>
      <c r="F17" s="18">
        <f>848+634</f>
        <v>1482</v>
      </c>
      <c r="G17" s="18">
        <v>1583</v>
      </c>
      <c r="H17" s="18">
        <v>1073</v>
      </c>
      <c r="I17" s="18">
        <f>G17+H17-C17-E17</f>
        <v>0</v>
      </c>
      <c r="J17" s="18">
        <f>C17-G17</f>
        <v>-1208</v>
      </c>
      <c r="K17" s="36"/>
    </row>
    <row r="18" ht="20.05" customHeight="1">
      <c r="B18" s="29"/>
      <c r="C18" s="17">
        <v>397</v>
      </c>
      <c r="D18" s="18">
        <v>2612</v>
      </c>
      <c r="E18" s="18">
        <f>D18-C18</f>
        <v>2215</v>
      </c>
      <c r="F18" s="18">
        <f>F17+'Sales'!G21</f>
        <v>1449</v>
      </c>
      <c r="G18" s="18">
        <v>1573</v>
      </c>
      <c r="H18" s="18">
        <v>1039</v>
      </c>
      <c r="I18" s="18">
        <f>G18+H18-C18-E18</f>
        <v>0</v>
      </c>
      <c r="J18" s="18">
        <f>C18-G18</f>
        <v>-1176</v>
      </c>
      <c r="K18" s="18"/>
    </row>
    <row r="19" ht="20.05" customHeight="1">
      <c r="B19" s="29"/>
      <c r="C19" s="17">
        <v>356</v>
      </c>
      <c r="D19" s="18">
        <v>2442</v>
      </c>
      <c r="E19" s="18">
        <f>D19-C19</f>
        <v>2086</v>
      </c>
      <c r="F19" s="18">
        <f>1078+662</f>
        <v>1740</v>
      </c>
      <c r="G19" s="18">
        <v>1422</v>
      </c>
      <c r="H19" s="18">
        <v>1020</v>
      </c>
      <c r="I19" s="18">
        <f>G19+H19-C19-E19</f>
        <v>0</v>
      </c>
      <c r="J19" s="18">
        <f>C19-G19</f>
        <v>-1066</v>
      </c>
      <c r="K19" s="36"/>
    </row>
    <row r="20" ht="20.05" customHeight="1">
      <c r="B20" s="31">
        <v>2021</v>
      </c>
      <c r="C20" s="17">
        <v>350</v>
      </c>
      <c r="D20" s="18">
        <v>2383</v>
      </c>
      <c r="E20" s="18">
        <f>D20-C20</f>
        <v>2033</v>
      </c>
      <c r="F20" s="18">
        <f>F19+'Sales'!E23</f>
        <v>1866</v>
      </c>
      <c r="G20" s="18">
        <v>1386</v>
      </c>
      <c r="H20" s="18">
        <v>997</v>
      </c>
      <c r="I20" s="18">
        <f>G20+H20-C20-E20</f>
        <v>0</v>
      </c>
      <c r="J20" s="18">
        <f>C20-G20</f>
        <v>-1036</v>
      </c>
      <c r="K20" s="18"/>
    </row>
    <row r="21" ht="20.05" customHeight="1">
      <c r="B21" s="29"/>
      <c r="C21" s="17">
        <v>271</v>
      </c>
      <c r="D21" s="18">
        <v>2330</v>
      </c>
      <c r="E21" s="18">
        <f>D21-C21</f>
        <v>2059</v>
      </c>
      <c r="F21" s="18">
        <f>F20+'Sales'!E24</f>
        <v>2003</v>
      </c>
      <c r="G21" s="18">
        <v>1329</v>
      </c>
      <c r="H21" s="18">
        <v>1000</v>
      </c>
      <c r="I21" s="18">
        <f>G21+H21-C21-E21</f>
        <v>-1</v>
      </c>
      <c r="J21" s="18">
        <f>C21-G21</f>
        <v>-1058</v>
      </c>
      <c r="K21" s="18"/>
    </row>
    <row r="22" ht="20.05" customHeight="1">
      <c r="B22" s="29"/>
      <c r="C22" s="17">
        <v>251</v>
      </c>
      <c r="D22" s="18">
        <v>2236</v>
      </c>
      <c r="E22" s="18">
        <f>D22-C22</f>
        <v>1985</v>
      </c>
      <c r="F22" s="18">
        <f>1235+762</f>
        <v>1997</v>
      </c>
      <c r="G22" s="18">
        <v>1290</v>
      </c>
      <c r="H22" s="18">
        <v>946</v>
      </c>
      <c r="I22" s="18">
        <f>G22+H22-C22-E22</f>
        <v>0</v>
      </c>
      <c r="J22" s="18">
        <f>C22-G22</f>
        <v>-1039</v>
      </c>
      <c r="K22" s="18">
        <f>J22</f>
        <v>-1039</v>
      </c>
    </row>
    <row r="23" ht="20.05" customHeight="1">
      <c r="B23" s="29"/>
      <c r="C23" s="17"/>
      <c r="D23" s="18"/>
      <c r="E23" s="18"/>
      <c r="F23" s="18"/>
      <c r="G23" s="18"/>
      <c r="H23" s="18"/>
      <c r="I23" s="18"/>
      <c r="J23" s="18"/>
      <c r="K23" s="18">
        <f>'Model'!F31</f>
        <v>-725.168047976919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6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42969" style="37" customWidth="1"/>
    <col min="2" max="2" width="7.875" style="37" customWidth="1"/>
    <col min="3" max="4" width="8.59375" style="37" customWidth="1"/>
    <col min="5" max="16384" width="16.3516" style="37" customWidth="1"/>
  </cols>
  <sheetData>
    <row r="1" ht="13.7" customHeight="1"/>
    <row r="2" ht="27.65" customHeight="1">
      <c r="B2" t="s" s="2">
        <v>57</v>
      </c>
      <c r="C2" s="2"/>
      <c r="D2" s="2"/>
    </row>
    <row r="3" ht="20.25" customHeight="1">
      <c r="B3" s="6"/>
      <c r="C3" t="s" s="38">
        <v>58</v>
      </c>
      <c r="D3" t="s" s="38">
        <v>59</v>
      </c>
    </row>
    <row r="4" ht="20.25" customHeight="1">
      <c r="B4" s="24">
        <v>2017</v>
      </c>
      <c r="C4" s="33"/>
      <c r="D4" s="27"/>
    </row>
    <row r="5" ht="20.05" customHeight="1">
      <c r="B5" s="29"/>
      <c r="C5" s="17"/>
      <c r="D5" s="18"/>
    </row>
    <row r="6" ht="20.05" customHeight="1">
      <c r="B6" s="29"/>
      <c r="C6" s="17"/>
      <c r="D6" s="18"/>
    </row>
    <row r="7" ht="20.05" customHeight="1">
      <c r="B7" s="29"/>
      <c r="C7" s="17"/>
      <c r="D7" s="18"/>
    </row>
    <row r="8" ht="20.05" customHeight="1">
      <c r="B8" s="29"/>
      <c r="C8" s="17"/>
      <c r="D8" s="18"/>
    </row>
    <row r="9" ht="20.05" customHeight="1">
      <c r="B9" s="29"/>
      <c r="C9" s="17"/>
      <c r="D9" s="18"/>
    </row>
    <row r="10" ht="20.05" customHeight="1">
      <c r="B10" s="29"/>
      <c r="C10" s="17">
        <v>2240</v>
      </c>
      <c r="D10" s="18"/>
    </row>
    <row r="11" ht="20.05" customHeight="1">
      <c r="B11" s="29"/>
      <c r="C11" s="17">
        <v>2060</v>
      </c>
      <c r="D11" s="18"/>
    </row>
    <row r="12" ht="20.05" customHeight="1">
      <c r="B12" s="29"/>
      <c r="C12" s="17">
        <v>2030</v>
      </c>
      <c r="D12" s="18"/>
    </row>
    <row r="13" ht="20.05" customHeight="1">
      <c r="B13" s="29"/>
      <c r="C13" s="17">
        <v>2040</v>
      </c>
      <c r="D13" s="18"/>
    </row>
    <row r="14" ht="20.05" customHeight="1">
      <c r="B14" s="29"/>
      <c r="C14" s="17">
        <v>1995</v>
      </c>
      <c r="D14" s="18"/>
    </row>
    <row r="15" ht="20.05" customHeight="1">
      <c r="B15" s="29"/>
      <c r="C15" s="17">
        <v>1905</v>
      </c>
      <c r="D15" s="18"/>
    </row>
    <row r="16" ht="20.05" customHeight="1">
      <c r="B16" s="31">
        <v>2018</v>
      </c>
      <c r="C16" s="17">
        <v>1850</v>
      </c>
      <c r="D16" s="18"/>
    </row>
    <row r="17" ht="20.05" customHeight="1">
      <c r="B17" s="29"/>
      <c r="C17" s="17">
        <v>1855</v>
      </c>
      <c r="D17" s="18"/>
    </row>
    <row r="18" ht="20.05" customHeight="1">
      <c r="B18" s="29"/>
      <c r="C18" s="17">
        <v>1800</v>
      </c>
      <c r="D18" s="18"/>
    </row>
    <row r="19" ht="20.05" customHeight="1">
      <c r="B19" s="29"/>
      <c r="C19" s="17">
        <v>1760</v>
      </c>
      <c r="D19" s="18"/>
    </row>
    <row r="20" ht="20.05" customHeight="1">
      <c r="B20" s="29"/>
      <c r="C20" s="17">
        <v>1695</v>
      </c>
      <c r="D20" s="18"/>
    </row>
    <row r="21" ht="20.05" customHeight="1">
      <c r="B21" s="29"/>
      <c r="C21" s="17">
        <v>1680</v>
      </c>
      <c r="D21" s="18"/>
    </row>
    <row r="22" ht="20.05" customHeight="1">
      <c r="B22" s="29"/>
      <c r="C22" s="17">
        <v>1945</v>
      </c>
      <c r="D22" s="18"/>
    </row>
    <row r="23" ht="20.05" customHeight="1">
      <c r="B23" s="29"/>
      <c r="C23" s="17">
        <v>1795</v>
      </c>
      <c r="D23" s="18"/>
    </row>
    <row r="24" ht="20.05" customHeight="1">
      <c r="B24" s="29"/>
      <c r="C24" s="17">
        <v>1700</v>
      </c>
      <c r="D24" s="18"/>
    </row>
    <row r="25" ht="20.05" customHeight="1">
      <c r="B25" s="29"/>
      <c r="C25" s="17">
        <v>1770</v>
      </c>
      <c r="D25" s="18"/>
    </row>
    <row r="26" ht="20.05" customHeight="1">
      <c r="B26" s="29"/>
      <c r="C26" s="17">
        <v>1835</v>
      </c>
      <c r="D26" s="18"/>
    </row>
    <row r="27" ht="20.05" customHeight="1">
      <c r="B27" s="29"/>
      <c r="C27" s="17">
        <v>1790</v>
      </c>
      <c r="D27" s="18"/>
    </row>
    <row r="28" ht="20.05" customHeight="1">
      <c r="B28" s="31">
        <v>2019</v>
      </c>
      <c r="C28" s="17">
        <v>1850</v>
      </c>
      <c r="D28" s="18"/>
    </row>
    <row r="29" ht="20.05" customHeight="1">
      <c r="B29" s="29"/>
      <c r="C29" s="17">
        <v>1895</v>
      </c>
      <c r="D29" s="18"/>
    </row>
    <row r="30" ht="20.05" customHeight="1">
      <c r="B30" s="29"/>
      <c r="C30" s="17">
        <v>1860</v>
      </c>
      <c r="D30" s="18"/>
    </row>
    <row r="31" ht="20.05" customHeight="1">
      <c r="B31" s="29"/>
      <c r="C31" s="17">
        <v>1900</v>
      </c>
      <c r="D31" s="18"/>
    </row>
    <row r="32" ht="20.05" customHeight="1">
      <c r="B32" s="29"/>
      <c r="C32" s="17">
        <v>1830</v>
      </c>
      <c r="D32" s="18"/>
    </row>
    <row r="33" ht="20.05" customHeight="1">
      <c r="B33" s="29"/>
      <c r="C33" s="17">
        <v>1745</v>
      </c>
      <c r="D33" s="18"/>
    </row>
    <row r="34" ht="20.05" customHeight="1">
      <c r="B34" s="29"/>
      <c r="C34" s="17">
        <v>1785</v>
      </c>
      <c r="D34" s="18"/>
    </row>
    <row r="35" ht="20.05" customHeight="1">
      <c r="B35" s="29"/>
      <c r="C35" s="17">
        <v>1750</v>
      </c>
      <c r="D35" s="18"/>
    </row>
    <row r="36" ht="20.05" customHeight="1">
      <c r="B36" s="29"/>
      <c r="C36" s="17">
        <v>1770</v>
      </c>
      <c r="D36" s="18"/>
    </row>
    <row r="37" ht="20.05" customHeight="1">
      <c r="B37" s="29"/>
      <c r="C37" s="17">
        <v>1730</v>
      </c>
      <c r="D37" s="20"/>
    </row>
    <row r="38" ht="20.05" customHeight="1">
      <c r="B38" s="29"/>
      <c r="C38" s="17">
        <v>1725</v>
      </c>
      <c r="D38" s="20"/>
    </row>
    <row r="39" ht="20.05" customHeight="1">
      <c r="B39" s="29"/>
      <c r="C39" s="17">
        <v>1690</v>
      </c>
      <c r="D39" s="20"/>
    </row>
    <row r="40" ht="20.05" customHeight="1">
      <c r="B40" s="31">
        <v>2020</v>
      </c>
      <c r="C40" s="17">
        <v>1640</v>
      </c>
      <c r="D40" s="20"/>
    </row>
    <row r="41" ht="20.05" customHeight="1">
      <c r="B41" s="29"/>
      <c r="C41" s="17">
        <v>1500</v>
      </c>
      <c r="D41" s="20"/>
    </row>
    <row r="42" ht="20.05" customHeight="1">
      <c r="B42" s="29"/>
      <c r="C42" s="17">
        <v>1450</v>
      </c>
      <c r="D42" s="20"/>
    </row>
    <row r="43" ht="20.05" customHeight="1">
      <c r="B43" s="29"/>
      <c r="C43" s="17">
        <v>1565</v>
      </c>
      <c r="D43" s="20"/>
    </row>
    <row r="44" ht="20.05" customHeight="1">
      <c r="B44" s="29"/>
      <c r="C44" s="17">
        <v>1360</v>
      </c>
      <c r="D44" s="20"/>
    </row>
    <row r="45" ht="20.05" customHeight="1">
      <c r="B45" s="29"/>
      <c r="C45" s="17">
        <v>1600</v>
      </c>
      <c r="D45" s="20"/>
    </row>
    <row r="46" ht="20.05" customHeight="1">
      <c r="B46" s="29"/>
      <c r="C46" s="17">
        <v>1345</v>
      </c>
      <c r="D46" s="20"/>
    </row>
    <row r="47" ht="20.05" customHeight="1">
      <c r="B47" s="29"/>
      <c r="C47" s="17">
        <v>1300</v>
      </c>
      <c r="D47" s="20"/>
    </row>
    <row r="48" ht="20.05" customHeight="1">
      <c r="B48" s="29"/>
      <c r="C48" s="17">
        <v>1165</v>
      </c>
      <c r="D48" s="20"/>
    </row>
    <row r="49" ht="20.05" customHeight="1">
      <c r="B49" s="29"/>
      <c r="C49" s="17">
        <v>1250</v>
      </c>
      <c r="D49" s="20"/>
    </row>
    <row r="50" ht="20.05" customHeight="1">
      <c r="B50" s="29"/>
      <c r="C50" s="17">
        <v>1355</v>
      </c>
      <c r="D50" s="20"/>
    </row>
    <row r="51" ht="20.05" customHeight="1">
      <c r="B51" s="29"/>
      <c r="C51" s="17">
        <v>1355</v>
      </c>
      <c r="D51" s="20"/>
    </row>
    <row r="52" ht="20.05" customHeight="1">
      <c r="B52" s="31">
        <v>2021</v>
      </c>
      <c r="C52" s="17">
        <v>1335</v>
      </c>
      <c r="D52" s="20"/>
    </row>
    <row r="53" ht="20.05" customHeight="1">
      <c r="B53" s="29"/>
      <c r="C53" s="17">
        <v>1280</v>
      </c>
      <c r="D53" s="20"/>
    </row>
    <row r="54" ht="20.05" customHeight="1">
      <c r="B54" s="29"/>
      <c r="C54" s="17">
        <v>1455</v>
      </c>
      <c r="D54" s="20"/>
    </row>
    <row r="55" ht="20.05" customHeight="1">
      <c r="B55" s="29"/>
      <c r="C55" s="17">
        <v>1355</v>
      </c>
      <c r="D55" s="20"/>
    </row>
    <row r="56" ht="20.05" customHeight="1">
      <c r="B56" s="29"/>
      <c r="C56" s="17">
        <v>1430</v>
      </c>
      <c r="D56" s="20"/>
    </row>
    <row r="57" ht="20.05" customHeight="1">
      <c r="B57" s="29"/>
      <c r="C57" s="17">
        <v>1315</v>
      </c>
      <c r="D57" s="20"/>
    </row>
    <row r="58" ht="20.05" customHeight="1">
      <c r="B58" s="29"/>
      <c r="C58" s="17">
        <v>1400</v>
      </c>
      <c r="D58" s="20"/>
    </row>
    <row r="59" ht="20.05" customHeight="1">
      <c r="B59" s="29"/>
      <c r="C59" s="17">
        <v>1645</v>
      </c>
      <c r="D59" s="20"/>
    </row>
    <row r="60" ht="20.05" customHeight="1">
      <c r="B60" s="29"/>
      <c r="C60" s="17">
        <v>1690</v>
      </c>
      <c r="D60" s="20"/>
    </row>
    <row r="61" ht="20.05" customHeight="1">
      <c r="B61" s="29"/>
      <c r="C61" s="17">
        <v>1700</v>
      </c>
      <c r="D61" s="20"/>
    </row>
    <row r="62" ht="20.05" customHeight="1">
      <c r="B62" s="29"/>
      <c r="C62" s="17">
        <v>1645</v>
      </c>
      <c r="D62" s="18">
        <f>C62</f>
        <v>1645</v>
      </c>
    </row>
    <row r="63" ht="20.05" customHeight="1">
      <c r="B63" s="29"/>
      <c r="C63" s="17"/>
      <c r="D63" s="18">
        <f>'Model'!F43</f>
        <v>1746.0627095476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