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<sst xmlns="http://schemas.openxmlformats.org/spreadsheetml/2006/main" uniqueCount="59">
  <si>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</si>
  <si>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</si>
  <si>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</si>
  <si>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 xml:space="preserve">Cashflow </t>
  </si>
  <si>
    <t>Sales growth</t>
  </si>
  <si>
    <t>Sales</t>
  </si>
  <si>
    <t xml:space="preserve">Cost ratio </t>
  </si>
  <si>
    <t>Cash costs</t>
  </si>
  <si>
    <t>Operating</t>
  </si>
  <si>
    <t>Investment</t>
  </si>
  <si>
    <t xml:space="preserve">Financial </t>
  </si>
  <si>
    <t xml:space="preserve">Liabilities </t>
  </si>
  <si>
    <t>Equity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</si>
  <si>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</si>
  <si>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</si>
  <si>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</si>
  <si>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</si>
  <si>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</si>
  <si>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Profit </t>
  </si>
  <si>
    <t xml:space="preserve">Depreciation </t>
  </si>
  <si>
    <t xml:space="preserve">Net profit </t>
  </si>
  <si>
    <t>Balance sheet</t>
  </si>
  <si>
    <t>Other assets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</si>
  <si>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</si>
  <si>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</si>
  <si>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</si>
  <si>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</si>
  <si>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</si>
  <si>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</si>
  <si>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</si>
  <si>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</si>
  <si>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</si>
  <si>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</si>
  <si>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</si>
  <si>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</si>
  <si>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</si>
  <si>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</si>
  <si>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</si>
  <si>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</si>
  <si>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</si>
  <si>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</si>
  <si>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>Sales forecasts</t>
  </si>
  <si>
    <t>FX</t>
  </si>
  <si>
    <t>Profit</t>
  </si>
  <si>
    <t xml:space="preserve">Sales growth </t>
  </si>
  <si>
    <t>Cost ratio</t>
  </si>
  <si>
    <t xml:space="preserve">Cashflow costs </t>
  </si>
  <si>
    <t xml:space="preserve">Receipts </t>
  </si>
  <si>
    <t xml:space="preserve">Operating </t>
  </si>
  <si>
    <t xml:space="preserve">Investment </t>
  </si>
  <si>
    <t>Finance</t>
  </si>
  <si>
    <t>Free cashflow</t>
  </si>
  <si>
    <t xml:space="preserve">Cash </t>
  </si>
  <si>
    <t>Assets</t>
  </si>
  <si>
    <t>Check</t>
  </si>
  <si>
    <t xml:space="preserve">Net. Cash </t>
  </si>
  <si>
    <t>Share price</t>
  </si>
  <si>
    <t>LSIP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</si>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</sst>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355447</xdr:colOff>
      <xdr:row>1</xdr:row>
      <xdr:rowOff>81828</xdr:rowOff>
    </xdr:from>
    <xdr:to>
      <xdr:col>12</xdr:col>
      <xdr:colOff>1110706</xdr:colOff>
      <xdr:row>45</xdr:row>
      <xdr:rowOff>141169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33747" y="432983"/>
          <a:ext cx="8222860" cy="112683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5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4.99219" style="1" customWidth="1"/>
    <col min="2" max="2" width="15.9062" style="1" customWidth="1"/>
    <col min="3" max="6" width="8.45312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25" customHeight="1">
      <c r="B2" t="s" s="3">
        <v>1</v>
      </c>
      <c r="C2" t="s" s="4">
        <v>2</v>
      </c>
      <c r="D2" s="5"/>
      <c r="E2" s="5"/>
      <c r="F2" s="5"/>
    </row>
    <row r="3" ht="20.25" customHeight="1">
      <c r="B3" t="s" s="6">
        <v>3</v>
      </c>
      <c r="C3" s="7">
        <f>AVERAGE('Sales'!I27:I30)</f>
        <v>0.180729156514035</v>
      </c>
      <c r="D3" s="8"/>
      <c r="E3" s="8"/>
      <c r="F3" s="9">
        <f>AVERAGE(C4:F4)</f>
        <v>0.0375</v>
      </c>
    </row>
    <row r="4" ht="20.05" customHeight="1">
      <c r="B4" t="s" s="10">
        <v>4</v>
      </c>
      <c r="C4" s="11">
        <v>0.1</v>
      </c>
      <c r="D4" s="12">
        <v>-0.03</v>
      </c>
      <c r="E4" s="12">
        <v>0.04</v>
      </c>
      <c r="F4" s="12">
        <v>0.04</v>
      </c>
    </row>
    <row r="5" ht="20.05" customHeight="1">
      <c r="B5" t="s" s="10">
        <v>5</v>
      </c>
      <c r="C5" s="13">
        <f>'Sales'!C30*(1+C4)</f>
        <v>1278.31</v>
      </c>
      <c r="D5" s="14">
        <f>C5*(1+D4)</f>
        <v>1239.9607</v>
      </c>
      <c r="E5" s="14">
        <f>D5*(1+E4)</f>
        <v>1289.559128</v>
      </c>
      <c r="F5" s="14">
        <f>E5*(1+F4)</f>
        <v>1341.14149312</v>
      </c>
    </row>
    <row r="6" ht="20.05" customHeight="1">
      <c r="B6" t="s" s="10">
        <v>6</v>
      </c>
      <c r="C6" s="15">
        <f>AVERAGE('Sales'!J30)</f>
        <v>-0.692195163927373</v>
      </c>
      <c r="D6" s="16">
        <f>C6</f>
        <v>-0.692195163927373</v>
      </c>
      <c r="E6" s="16">
        <f>D6</f>
        <v>-0.692195163927373</v>
      </c>
      <c r="F6" s="16">
        <f>E6</f>
        <v>-0.692195163927373</v>
      </c>
    </row>
    <row r="7" ht="20.05" customHeight="1">
      <c r="B7" t="s" s="10">
        <v>7</v>
      </c>
      <c r="C7" s="17">
        <f>C6*C5</f>
        <v>-884.84</v>
      </c>
      <c r="D7" s="18">
        <f>D6*D5</f>
        <v>-858.2948</v>
      </c>
      <c r="E7" s="18">
        <f>E6*E5</f>
        <v>-892.626592</v>
      </c>
      <c r="F7" s="18">
        <f>F6*F5</f>
        <v>-928.33165568</v>
      </c>
    </row>
    <row r="8" ht="20.05" customHeight="1">
      <c r="B8" t="s" s="10">
        <v>8</v>
      </c>
      <c r="C8" s="13">
        <f>C5+C7</f>
        <v>393.47</v>
      </c>
      <c r="D8" s="14">
        <f>D5+D7</f>
        <v>381.6659</v>
      </c>
      <c r="E8" s="14">
        <f>E5+E7</f>
        <v>396.932536</v>
      </c>
      <c r="F8" s="14">
        <f>F5+F7</f>
        <v>412.80983744</v>
      </c>
    </row>
    <row r="9" ht="20.05" customHeight="1">
      <c r="B9" t="s" s="10">
        <v>9</v>
      </c>
      <c r="C9" s="17">
        <f>AVERAGE('Cashflow '!E30)</f>
        <v>-82.8</v>
      </c>
      <c r="D9" s="18">
        <f>C9</f>
        <v>-82.8</v>
      </c>
      <c r="E9" s="18">
        <f>D9</f>
        <v>-82.8</v>
      </c>
      <c r="F9" s="18">
        <f>E9</f>
        <v>-82.8</v>
      </c>
    </row>
    <row r="10" ht="20.05" customHeight="1">
      <c r="B10" t="s" s="10">
        <v>10</v>
      </c>
      <c r="C10" s="17">
        <f>C11+C12+C14</f>
        <v>-264.432</v>
      </c>
      <c r="D10" s="18">
        <f>D11+D12+D14</f>
        <v>-252.72204</v>
      </c>
      <c r="E10" s="18">
        <f>E11+E12+E14</f>
        <v>-257.4858966</v>
      </c>
      <c r="F10" s="18">
        <f>F11+F12+F14</f>
        <v>-262.835958714</v>
      </c>
    </row>
    <row r="11" ht="20.05" customHeight="1">
      <c r="B11" t="s" s="10">
        <v>11</v>
      </c>
      <c r="C11" s="17">
        <f>-'Balance sheet'!G30/20</f>
        <v>-92.55</v>
      </c>
      <c r="D11" s="18">
        <f>-C25/20</f>
        <v>-87.9225</v>
      </c>
      <c r="E11" s="18">
        <f>-D25/20</f>
        <v>-83.526375</v>
      </c>
      <c r="F11" s="18">
        <f>-E25/20</f>
        <v>-79.35005624999999</v>
      </c>
    </row>
    <row r="12" ht="20.05" customHeight="1">
      <c r="B12" t="s" s="10">
        <v>12</v>
      </c>
      <c r="C12" s="19">
        <f>IF(C20&gt;0,-C20*0.6,0)</f>
        <v>-171.882</v>
      </c>
      <c r="D12" s="20">
        <f>IF(D20&gt;0,-D20*0.6,0)</f>
        <v>-164.79954</v>
      </c>
      <c r="E12" s="20">
        <f>IF(E20&gt;0,-E20*0.6,0)</f>
        <v>-173.9595216</v>
      </c>
      <c r="F12" s="20">
        <f>IF(F20&gt;0,-F20*0.6,0)</f>
        <v>-183.485902464</v>
      </c>
    </row>
    <row r="13" ht="20.05" customHeight="1">
      <c r="B13" t="s" s="10">
        <v>13</v>
      </c>
      <c r="C13" s="17">
        <f>C8+C9+C11+C12</f>
        <v>46.238</v>
      </c>
      <c r="D13" s="18">
        <f>D8+D9+D11+D12</f>
        <v>46.14386</v>
      </c>
      <c r="E13" s="18">
        <f>E8+E9+E11+E12</f>
        <v>56.6466394</v>
      </c>
      <c r="F13" s="18">
        <f>F8+F9+F11+F12</f>
        <v>67.173878726</v>
      </c>
    </row>
    <row r="14" ht="20.05" customHeight="1">
      <c r="B14" t="s" s="10">
        <v>14</v>
      </c>
      <c r="C14" s="17">
        <f>-MIN(0,C13)</f>
        <v>0</v>
      </c>
      <c r="D14" s="18">
        <f>-MIN(C26,D13)</f>
        <v>0</v>
      </c>
      <c r="E14" s="18">
        <f>-MIN(D26,E13)</f>
        <v>0</v>
      </c>
      <c r="F14" s="18">
        <f>-MIN(E26,F13)</f>
        <v>0</v>
      </c>
    </row>
    <row r="15" ht="20.05" customHeight="1">
      <c r="B15" t="s" s="10">
        <v>15</v>
      </c>
      <c r="C15" s="17">
        <f>'Balance sheet'!C30</f>
        <v>2848</v>
      </c>
      <c r="D15" s="18">
        <f>C17</f>
        <v>2894.238</v>
      </c>
      <c r="E15" s="18">
        <f>D17</f>
        <v>2940.38186</v>
      </c>
      <c r="F15" s="18">
        <f>E17</f>
        <v>2997.0284994</v>
      </c>
    </row>
    <row r="16" ht="20.05" customHeight="1">
      <c r="B16" t="s" s="10">
        <v>16</v>
      </c>
      <c r="C16" s="17">
        <f>C8+C9+C10</f>
        <v>46.238</v>
      </c>
      <c r="D16" s="18">
        <f>D8+D9+D10</f>
        <v>46.14386</v>
      </c>
      <c r="E16" s="18">
        <f>E8+E9+E10</f>
        <v>56.6466394</v>
      </c>
      <c r="F16" s="18">
        <f>F8+F9+F10</f>
        <v>67.173878726</v>
      </c>
    </row>
    <row r="17" ht="20.05" customHeight="1">
      <c r="B17" t="s" s="10">
        <v>17</v>
      </c>
      <c r="C17" s="17">
        <f>C15+C16</f>
        <v>2894.238</v>
      </c>
      <c r="D17" s="18">
        <f>D15+D16</f>
        <v>2940.38186</v>
      </c>
      <c r="E17" s="18">
        <f>E15+E16</f>
        <v>2997.0284994</v>
      </c>
      <c r="F17" s="18">
        <f>F15+F16</f>
        <v>3064.202378126</v>
      </c>
    </row>
    <row r="18" ht="20.05" customHeight="1">
      <c r="B18" t="s" s="21">
        <v>18</v>
      </c>
      <c r="C18" s="17"/>
      <c r="D18" s="18"/>
      <c r="E18" s="18"/>
      <c r="F18" s="22"/>
    </row>
    <row r="19" ht="20.05" customHeight="1">
      <c r="B19" t="s" s="10">
        <v>19</v>
      </c>
      <c r="C19" s="19">
        <f>-AVERAGE('Sales'!F30)</f>
        <v>-107</v>
      </c>
      <c r="D19" s="20">
        <f>C19</f>
        <v>-107</v>
      </c>
      <c r="E19" s="20">
        <f>D19</f>
        <v>-107</v>
      </c>
      <c r="F19" s="20">
        <f>E19</f>
        <v>-107</v>
      </c>
    </row>
    <row r="20" ht="20.05" customHeight="1">
      <c r="B20" t="s" s="10">
        <v>20</v>
      </c>
      <c r="C20" s="19">
        <f>C5+C7+C19</f>
        <v>286.47</v>
      </c>
      <c r="D20" s="20">
        <f>D5+D7+D19</f>
        <v>274.6659</v>
      </c>
      <c r="E20" s="20">
        <f>E5+E7+E19</f>
        <v>289.932536</v>
      </c>
      <c r="F20" s="20">
        <f>F5+F7+F19</f>
        <v>305.80983744</v>
      </c>
    </row>
    <row r="21" ht="20.05" customHeight="1">
      <c r="B21" t="s" s="21">
        <v>21</v>
      </c>
      <c r="C21" s="17"/>
      <c r="D21" s="18"/>
      <c r="E21" s="18"/>
      <c r="F21" s="18"/>
    </row>
    <row r="22" ht="20.05" customHeight="1">
      <c r="B22" t="s" s="10">
        <v>22</v>
      </c>
      <c r="C22" s="17">
        <f>'Balance sheet'!E30+'Balance sheet'!F30-C9</f>
        <v>13551.8</v>
      </c>
      <c r="D22" s="18">
        <f>C22-D9</f>
        <v>13634.6</v>
      </c>
      <c r="E22" s="18">
        <f>D22-E9</f>
        <v>13717.4</v>
      </c>
      <c r="F22" s="18">
        <f>E22-F9</f>
        <v>13800.2</v>
      </c>
    </row>
    <row r="23" ht="20.05" customHeight="1">
      <c r="B23" t="s" s="10">
        <v>19</v>
      </c>
      <c r="C23" s="17">
        <f>'Balance sheet'!F29-C19</f>
        <v>4563</v>
      </c>
      <c r="D23" s="18">
        <f>C23-D19</f>
        <v>4670</v>
      </c>
      <c r="E23" s="18">
        <f>D23-E19</f>
        <v>4777</v>
      </c>
      <c r="F23" s="18">
        <f>E23-F19</f>
        <v>4884</v>
      </c>
    </row>
    <row r="24" ht="20.05" customHeight="1">
      <c r="B24" t="s" s="10">
        <v>23</v>
      </c>
      <c r="C24" s="17">
        <f>C22-C23</f>
        <v>8988.799999999999</v>
      </c>
      <c r="D24" s="18">
        <f>D22-D23</f>
        <v>8964.6</v>
      </c>
      <c r="E24" s="18">
        <f>E22-E23</f>
        <v>8940.4</v>
      </c>
      <c r="F24" s="18">
        <f>F22-F23</f>
        <v>8916.200000000001</v>
      </c>
    </row>
    <row r="25" ht="20.05" customHeight="1">
      <c r="B25" t="s" s="10">
        <v>11</v>
      </c>
      <c r="C25" s="17">
        <f>'Balance sheet'!G30+C11</f>
        <v>1758.45</v>
      </c>
      <c r="D25" s="18">
        <f>C25+D11</f>
        <v>1670.5275</v>
      </c>
      <c r="E25" s="18">
        <f>D25+E11</f>
        <v>1587.001125</v>
      </c>
      <c r="F25" s="18">
        <f>E25+F11</f>
        <v>1507.65106875</v>
      </c>
    </row>
    <row r="26" ht="20.05" customHeight="1">
      <c r="B26" t="s" s="10">
        <v>14</v>
      </c>
      <c r="C26" s="17">
        <f>C14</f>
        <v>0</v>
      </c>
      <c r="D26" s="18">
        <f>C26+D14</f>
        <v>0</v>
      </c>
      <c r="E26" s="18">
        <f>D26+E14</f>
        <v>0</v>
      </c>
      <c r="F26" s="18">
        <f>E26+F14</f>
        <v>0</v>
      </c>
    </row>
    <row r="27" ht="20.05" customHeight="1">
      <c r="B27" t="s" s="10">
        <v>24</v>
      </c>
      <c r="C27" s="17">
        <f>'Balance sheet'!H30+C20+C12</f>
        <v>10023.588</v>
      </c>
      <c r="D27" s="18">
        <f>C27+D20+D12</f>
        <v>10133.45436</v>
      </c>
      <c r="E27" s="18">
        <f>D27+E20+E12</f>
        <v>10249.4273744</v>
      </c>
      <c r="F27" s="18">
        <f>E27+F20+F12</f>
        <v>10371.751309376</v>
      </c>
    </row>
    <row r="28" ht="20.05" customHeight="1">
      <c r="B28" t="s" s="10">
        <v>25</v>
      </c>
      <c r="C28" s="17">
        <f>C25+C26+C27-C17-C24</f>
        <v>-101</v>
      </c>
      <c r="D28" s="18">
        <f>D25+D26+D27-D17-D24</f>
        <v>-101</v>
      </c>
      <c r="E28" s="18">
        <f>E25+E26+E27-E17-E24</f>
        <v>-101</v>
      </c>
      <c r="F28" s="18">
        <f>F25+F26+F27-F17-F24</f>
        <v>-101</v>
      </c>
    </row>
    <row r="29" ht="20.05" customHeight="1">
      <c r="B29" t="s" s="10">
        <v>26</v>
      </c>
      <c r="C29" s="17">
        <f>C17-C25-C26</f>
        <v>1135.788</v>
      </c>
      <c r="D29" s="18">
        <f>D17-D25-D26</f>
        <v>1269.85436</v>
      </c>
      <c r="E29" s="18">
        <f>E17-E25-E26</f>
        <v>1410.0273744</v>
      </c>
      <c r="F29" s="18">
        <f>F17-F25-F26</f>
        <v>1556.551309376</v>
      </c>
    </row>
    <row r="30" ht="20.05" customHeight="1">
      <c r="B30" t="s" s="21">
        <v>27</v>
      </c>
      <c r="C30" s="17"/>
      <c r="D30" s="18"/>
      <c r="E30" s="18"/>
      <c r="F30" s="18"/>
    </row>
    <row r="31" ht="20.05" customHeight="1">
      <c r="B31" t="s" s="10">
        <v>28</v>
      </c>
      <c r="C31" s="17">
        <f>'Cashflow '!K30-C10</f>
        <v>1863.132</v>
      </c>
      <c r="D31" s="18">
        <f>C31-D10</f>
        <v>2115.85404</v>
      </c>
      <c r="E31" s="18">
        <f>D31-E10</f>
        <v>2373.3399366</v>
      </c>
      <c r="F31" s="18">
        <f>E31-F10</f>
        <v>2636.175895314</v>
      </c>
    </row>
    <row r="32" ht="20.05" customHeight="1">
      <c r="B32" t="s" s="10">
        <v>29</v>
      </c>
      <c r="C32" s="17"/>
      <c r="D32" s="18"/>
      <c r="E32" s="18"/>
      <c r="F32" s="18">
        <v>8457</v>
      </c>
    </row>
    <row r="33" ht="20.05" customHeight="1">
      <c r="B33" t="s" s="10">
        <v>30</v>
      </c>
      <c r="C33" s="17"/>
      <c r="D33" s="18"/>
      <c r="E33" s="18"/>
      <c r="F33" s="23">
        <f>F32/(F17+F24)</f>
        <v>0.705902834736245</v>
      </c>
    </row>
    <row r="34" ht="20.05" customHeight="1">
      <c r="B34" t="s" s="10">
        <v>31</v>
      </c>
      <c r="C34" s="17"/>
      <c r="D34" s="18"/>
      <c r="E34" s="18"/>
      <c r="F34" s="16">
        <f>-(C12+D12+E12+F12)/F32</f>
        <v>0.0820772098928698</v>
      </c>
    </row>
    <row r="35" ht="20.05" customHeight="1">
      <c r="B35" t="s" s="10">
        <v>32</v>
      </c>
      <c r="C35" s="17"/>
      <c r="D35" s="18"/>
      <c r="E35" s="18"/>
      <c r="F35" s="18">
        <f>SUM(C8:F9)</f>
        <v>1253.67827344</v>
      </c>
    </row>
    <row r="36" ht="20.05" customHeight="1">
      <c r="B36" t="s" s="10">
        <v>33</v>
      </c>
      <c r="C36" s="17"/>
      <c r="D36" s="18"/>
      <c r="E36" s="18"/>
      <c r="F36" s="18">
        <f>'Balance sheet'!E30/F35</f>
        <v>7.10868185945836</v>
      </c>
    </row>
    <row r="37" ht="20.05" customHeight="1">
      <c r="B37" t="s" s="10">
        <v>27</v>
      </c>
      <c r="C37" s="17"/>
      <c r="D37" s="18"/>
      <c r="E37" s="18"/>
      <c r="F37" s="18">
        <f>F32/F35</f>
        <v>6.74574983005378</v>
      </c>
    </row>
    <row r="38" ht="20.05" customHeight="1">
      <c r="B38" t="s" s="10">
        <v>34</v>
      </c>
      <c r="C38" s="17"/>
      <c r="D38" s="18"/>
      <c r="E38" s="18"/>
      <c r="F38" s="18">
        <v>15</v>
      </c>
    </row>
    <row r="39" ht="20.05" customHeight="1">
      <c r="B39" t="s" s="10">
        <v>35</v>
      </c>
      <c r="C39" s="17"/>
      <c r="D39" s="18"/>
      <c r="E39" s="18"/>
      <c r="F39" s="18">
        <f>F35*F38</f>
        <v>18805.1741016</v>
      </c>
    </row>
    <row r="40" ht="20.05" customHeight="1">
      <c r="B40" t="s" s="10">
        <v>36</v>
      </c>
      <c r="C40" s="17"/>
      <c r="D40" s="18"/>
      <c r="E40" s="18"/>
      <c r="F40" s="18">
        <f>F32/F42</f>
        <v>7.19744680851064</v>
      </c>
    </row>
    <row r="41" ht="20.05" customHeight="1">
      <c r="B41" t="s" s="10">
        <v>37</v>
      </c>
      <c r="C41" s="17"/>
      <c r="D41" s="18"/>
      <c r="E41" s="18"/>
      <c r="F41" s="18">
        <f>F39/F40</f>
        <v>2612.7562456403</v>
      </c>
    </row>
    <row r="42" ht="20.05" customHeight="1">
      <c r="B42" t="s" s="10">
        <v>38</v>
      </c>
      <c r="C42" s="17"/>
      <c r="D42" s="18"/>
      <c r="E42" s="18"/>
      <c r="F42" s="18">
        <f>'Share price '!C19</f>
        <v>1175</v>
      </c>
    </row>
    <row r="43" ht="20.05" customHeight="1">
      <c r="B43" t="s" s="10">
        <v>39</v>
      </c>
      <c r="C43" s="17"/>
      <c r="D43" s="18"/>
      <c r="E43" s="18"/>
      <c r="F43" s="16">
        <f>F41/F42-1</f>
        <v>1.22362233671515</v>
      </c>
    </row>
    <row r="44" ht="20.05" customHeight="1">
      <c r="B44" t="s" s="10">
        <v>40</v>
      </c>
      <c r="C44" s="17"/>
      <c r="D44" s="18"/>
      <c r="E44" s="18"/>
      <c r="F44" s="16">
        <f>'Sales'!C30/'Sales'!C26-1</f>
        <v>0.632162921348315</v>
      </c>
    </row>
    <row r="45" ht="20.05" customHeight="1">
      <c r="B45" t="s" s="10">
        <v>41</v>
      </c>
      <c r="C45" s="24"/>
      <c r="D45" s="25"/>
      <c r="E45" s="25"/>
      <c r="F45" s="16">
        <f>('Sales'!D22+'Sales'!D30+'Sales'!D23+'Sales'!D24+'Sales'!D25+'Sales'!D26+'Sales'!D27+'Sales'!D28+'Sales'!D29)/('Sales'!C22+'Sales'!C23+'Sales'!C24+'Sales'!C25+'Sales'!C26+'Sales'!C27+'Sales'!C28+'Sales'!C30+'Sales'!C29)-1</f>
        <v>0.114113257976502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5156" style="26" customWidth="1"/>
    <col min="2" max="2" width="10.6953" style="26" customWidth="1"/>
    <col min="3" max="12" width="10.2812" style="26" customWidth="1"/>
    <col min="13" max="16384" width="16.3516" style="26" customWidth="1"/>
  </cols>
  <sheetData>
    <row r="1" ht="34.9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5</v>
      </c>
      <c r="D3" t="s" s="4">
        <v>34</v>
      </c>
      <c r="E3" t="s" s="4">
        <v>42</v>
      </c>
      <c r="F3" t="s" s="4">
        <v>19</v>
      </c>
      <c r="G3" t="s" s="4">
        <v>43</v>
      </c>
      <c r="H3" t="s" s="4">
        <v>43</v>
      </c>
      <c r="I3" t="s" s="4">
        <v>44</v>
      </c>
      <c r="J3" t="s" s="4">
        <v>45</v>
      </c>
      <c r="K3" t="s" s="4">
        <v>46</v>
      </c>
      <c r="L3" t="s" s="4">
        <v>46</v>
      </c>
    </row>
    <row r="4" ht="20.25" customHeight="1">
      <c r="B4" s="27">
        <v>2015</v>
      </c>
      <c r="C4" s="28">
        <v>888</v>
      </c>
      <c r="D4" s="8"/>
      <c r="E4" s="29"/>
      <c r="F4" s="30">
        <v>80</v>
      </c>
      <c r="G4" s="30">
        <v>153</v>
      </c>
      <c r="H4" s="31"/>
      <c r="I4" s="9"/>
      <c r="J4" s="32">
        <f>(F4+G4-E4-C4)/C4</f>
        <v>-0.737612612612613</v>
      </c>
      <c r="K4" s="9"/>
      <c r="L4" s="32"/>
    </row>
    <row r="5" ht="20.05" customHeight="1">
      <c r="B5" s="33"/>
      <c r="C5" s="13">
        <v>1192</v>
      </c>
      <c r="D5" s="22"/>
      <c r="E5" s="14"/>
      <c r="F5" s="25">
        <v>84</v>
      </c>
      <c r="G5" s="25">
        <v>156</v>
      </c>
      <c r="H5" s="25"/>
      <c r="I5" s="16">
        <f>C5/C4-1</f>
        <v>0.342342342342342</v>
      </c>
      <c r="J5" s="16">
        <f>(F5+G5-E5-C5)/C5</f>
        <v>-0.798657718120805</v>
      </c>
      <c r="K5" s="12"/>
      <c r="L5" s="16"/>
    </row>
    <row r="6" ht="20.05" customHeight="1">
      <c r="B6" s="33"/>
      <c r="C6" s="13">
        <v>996</v>
      </c>
      <c r="D6" s="22"/>
      <c r="E6" s="14"/>
      <c r="F6" s="25">
        <v>78</v>
      </c>
      <c r="G6" s="25">
        <v>161</v>
      </c>
      <c r="H6" s="25"/>
      <c r="I6" s="16">
        <f>C6/C5-1</f>
        <v>-0.164429530201342</v>
      </c>
      <c r="J6" s="16">
        <f>(F6+G6-E6-C6)/C6</f>
        <v>-0.76004016064257</v>
      </c>
      <c r="K6" s="12"/>
      <c r="L6" s="16"/>
    </row>
    <row r="7" ht="20.05" customHeight="1">
      <c r="B7" s="33"/>
      <c r="C7" s="13">
        <v>1114</v>
      </c>
      <c r="D7" s="22"/>
      <c r="E7" s="14"/>
      <c r="F7" s="25">
        <v>85</v>
      </c>
      <c r="G7" s="25">
        <v>153</v>
      </c>
      <c r="H7" s="25">
        <f>AVERAGE(G4:G7)</f>
        <v>155.75</v>
      </c>
      <c r="I7" s="16">
        <f>C7/C6-1</f>
        <v>0.118473895582329</v>
      </c>
      <c r="J7" s="16">
        <f>(F7+G7-E7-C7)/C7</f>
        <v>-0.786355475763016</v>
      </c>
      <c r="K7" s="12"/>
      <c r="L7" s="16"/>
    </row>
    <row r="8" ht="20.05" customHeight="1">
      <c r="B8" s="34">
        <v>2016</v>
      </c>
      <c r="C8" s="13">
        <v>804</v>
      </c>
      <c r="D8" s="22"/>
      <c r="E8" s="14"/>
      <c r="F8" s="25">
        <v>95</v>
      </c>
      <c r="G8" s="25">
        <v>50</v>
      </c>
      <c r="H8" s="25">
        <f>AVERAGE(G5:G8)</f>
        <v>130</v>
      </c>
      <c r="I8" s="16">
        <f>C8/C7-1</f>
        <v>-0.278276481149013</v>
      </c>
      <c r="J8" s="16">
        <f>(F8+G8-E8-C8)/C8</f>
        <v>-0.819651741293532</v>
      </c>
      <c r="K8" s="22"/>
      <c r="L8" s="16"/>
    </row>
    <row r="9" ht="20.05" customHeight="1">
      <c r="B9" s="33"/>
      <c r="C9" s="13">
        <v>848</v>
      </c>
      <c r="D9" s="22"/>
      <c r="E9" s="14"/>
      <c r="F9" s="25">
        <v>86</v>
      </c>
      <c r="G9" s="25">
        <v>63</v>
      </c>
      <c r="H9" s="25">
        <f>AVERAGE(G6:G9)</f>
        <v>106.75</v>
      </c>
      <c r="I9" s="16">
        <f>C9/C8-1</f>
        <v>0.054726368159204</v>
      </c>
      <c r="J9" s="16">
        <f>(F9+G9-E9-C9)/C9</f>
        <v>-0.824292452830189</v>
      </c>
      <c r="K9" s="22"/>
      <c r="L9" s="16"/>
    </row>
    <row r="10" ht="20.05" customHeight="1">
      <c r="B10" s="33"/>
      <c r="C10" s="13">
        <v>966</v>
      </c>
      <c r="D10" s="22"/>
      <c r="E10" s="14"/>
      <c r="F10" s="25">
        <v>98</v>
      </c>
      <c r="G10" s="25">
        <v>159</v>
      </c>
      <c r="H10" s="25">
        <f>AVERAGE(G7:G10)</f>
        <v>106.25</v>
      </c>
      <c r="I10" s="16">
        <f>C10/C9-1</f>
        <v>0.139150943396226</v>
      </c>
      <c r="J10" s="16">
        <f>(F10+G10-E10-C10)/C10</f>
        <v>-0.733954451345756</v>
      </c>
      <c r="K10" s="22"/>
      <c r="L10" s="16"/>
    </row>
    <row r="11" ht="20.05" customHeight="1">
      <c r="B11" s="33"/>
      <c r="C11" s="13">
        <v>1230</v>
      </c>
      <c r="D11" s="22"/>
      <c r="E11" s="14"/>
      <c r="F11" s="25">
        <v>91</v>
      </c>
      <c r="G11" s="25">
        <v>321</v>
      </c>
      <c r="H11" s="25">
        <f>AVERAGE(G8:G11)</f>
        <v>148.25</v>
      </c>
      <c r="I11" s="16">
        <f>C11/C10-1</f>
        <v>0.273291925465839</v>
      </c>
      <c r="J11" s="16">
        <f>(F11+G11-E11-C11)/C11</f>
        <v>-0.665040650406504</v>
      </c>
      <c r="K11" s="22"/>
      <c r="L11" s="16"/>
    </row>
    <row r="12" ht="20.05" customHeight="1">
      <c r="B12" s="34">
        <v>2017</v>
      </c>
      <c r="C12" s="13">
        <v>1464</v>
      </c>
      <c r="D12" s="22"/>
      <c r="E12" s="14"/>
      <c r="F12" s="25">
        <v>96</v>
      </c>
      <c r="G12" s="25">
        <v>375</v>
      </c>
      <c r="H12" s="25">
        <f>AVERAGE(G9:G12)</f>
        <v>229.5</v>
      </c>
      <c r="I12" s="16">
        <f>C12/C11-1</f>
        <v>0.190243902439024</v>
      </c>
      <c r="J12" s="16">
        <f>(F12+G12-E12-C12)/C12</f>
        <v>-0.6782786885245899</v>
      </c>
      <c r="K12" s="22"/>
      <c r="L12" s="16">
        <f>('Cashflow '!D12-'Cashflow '!C12)/'Cashflow '!C12</f>
        <v>-0.522041763341067</v>
      </c>
    </row>
    <row r="13" ht="20.05" customHeight="1">
      <c r="B13" s="33"/>
      <c r="C13" s="13">
        <v>1004</v>
      </c>
      <c r="D13" s="22"/>
      <c r="E13" s="14"/>
      <c r="F13" s="25">
        <v>86</v>
      </c>
      <c r="G13" s="25">
        <v>85</v>
      </c>
      <c r="H13" s="25">
        <f>AVERAGE(G10:G13)</f>
        <v>235</v>
      </c>
      <c r="I13" s="16">
        <f>C13/C12-1</f>
        <v>-0.314207650273224</v>
      </c>
      <c r="J13" s="16">
        <f>(F13+G13-E13-C13)/C13</f>
        <v>-0.829681274900398</v>
      </c>
      <c r="K13" s="22"/>
      <c r="L13" s="16">
        <f>('Cashflow '!D13-'Cashflow '!C13)/'Cashflow '!C13</f>
        <v>-1.12043010752688</v>
      </c>
    </row>
    <row r="14" ht="20.05" customHeight="1">
      <c r="B14" s="33"/>
      <c r="C14" s="13">
        <v>1107</v>
      </c>
      <c r="D14" s="22"/>
      <c r="E14" s="14"/>
      <c r="F14" s="25">
        <v>109</v>
      </c>
      <c r="G14" s="25">
        <v>180</v>
      </c>
      <c r="H14" s="25">
        <f>AVERAGE(G11:G14)</f>
        <v>240.25</v>
      </c>
      <c r="I14" s="16">
        <f>C14/C13-1</f>
        <v>0.102589641434263</v>
      </c>
      <c r="J14" s="16">
        <f>(F14+G14-E14-C14)/C14</f>
        <v>-0.7389340560072269</v>
      </c>
      <c r="K14" s="22"/>
      <c r="L14" s="16">
        <f>('Cashflow '!D14-'Cashflow '!C14)/'Cashflow '!C14</f>
        <v>-0.549496644295302</v>
      </c>
    </row>
    <row r="15" ht="20.05" customHeight="1">
      <c r="B15" s="33"/>
      <c r="C15" s="13">
        <v>1163</v>
      </c>
      <c r="D15" s="22"/>
      <c r="E15" s="14"/>
      <c r="F15" s="25">
        <v>97</v>
      </c>
      <c r="G15" s="25">
        <v>123</v>
      </c>
      <c r="H15" s="25">
        <f>AVERAGE(G12:G15)</f>
        <v>190.75</v>
      </c>
      <c r="I15" s="16">
        <f>C15/C14-1</f>
        <v>0.0505871725383921</v>
      </c>
      <c r="J15" s="16">
        <f>(F15+G15-E15-C15)/C15</f>
        <v>-0.810834049871023</v>
      </c>
      <c r="K15" s="22"/>
      <c r="L15" s="16">
        <f>('Cashflow '!D15-'Cashflow '!C15)/'Cashflow '!C15</f>
        <v>-0.811044003451251</v>
      </c>
    </row>
    <row r="16" ht="20.05" customHeight="1">
      <c r="B16" s="34">
        <v>2018</v>
      </c>
      <c r="C16" s="13">
        <v>868</v>
      </c>
      <c r="D16" s="22"/>
      <c r="E16" s="14"/>
      <c r="F16" s="25">
        <v>97.40000000000001</v>
      </c>
      <c r="G16" s="25">
        <v>116</v>
      </c>
      <c r="H16" s="25">
        <f>AVERAGE(G13:G16)</f>
        <v>126</v>
      </c>
      <c r="I16" s="16">
        <f>C16/C15-1</f>
        <v>-0.253654342218401</v>
      </c>
      <c r="J16" s="16">
        <f>(F16+G16-E16-C16)/C16</f>
        <v>-0.754147465437788</v>
      </c>
      <c r="K16" s="16">
        <f>AVERAGE(L13:L16)</f>
        <v>-0.778282889823384</v>
      </c>
      <c r="L16" s="16">
        <f>('Cashflow '!D16-'Cashflow '!C16)/'Cashflow '!C16</f>
        <v>-0.632160804020101</v>
      </c>
    </row>
    <row r="17" ht="20.05" customHeight="1">
      <c r="B17" s="33"/>
      <c r="C17" s="13">
        <v>895</v>
      </c>
      <c r="D17" s="22"/>
      <c r="E17" s="14"/>
      <c r="F17" s="25">
        <v>94.59999999999999</v>
      </c>
      <c r="G17" s="25">
        <v>108</v>
      </c>
      <c r="H17" s="25">
        <f>AVERAGE(G14:G17)</f>
        <v>131.75</v>
      </c>
      <c r="I17" s="16">
        <f>C17/C16-1</f>
        <v>0.0311059907834101</v>
      </c>
      <c r="J17" s="16">
        <f>(F17+G17-E17-C17)/C17</f>
        <v>-0.773631284916201</v>
      </c>
      <c r="K17" s="16">
        <f>AVERAGE(L14:L17)</f>
        <v>-0.753025695535899</v>
      </c>
      <c r="L17" s="16">
        <f>('Cashflow '!D17-'Cashflow '!C17)/'Cashflow '!C17</f>
        <v>-1.01940133037694</v>
      </c>
    </row>
    <row r="18" ht="20.05" customHeight="1">
      <c r="B18" s="33"/>
      <c r="C18" s="13">
        <v>1111</v>
      </c>
      <c r="D18" s="22"/>
      <c r="E18" s="14"/>
      <c r="F18" s="25">
        <v>102</v>
      </c>
      <c r="G18" s="25">
        <v>119</v>
      </c>
      <c r="H18" s="25">
        <f>AVERAGE(G15:G18)</f>
        <v>116.5</v>
      </c>
      <c r="I18" s="16">
        <f>C18/C17-1</f>
        <v>0.241340782122905</v>
      </c>
      <c r="J18" s="16">
        <f>(F18+G18-E18-C18)/C18</f>
        <v>-0.801080108010801</v>
      </c>
      <c r="K18" s="16">
        <f>AVERAGE(L15:L18)</f>
        <v>-0.837188536359606</v>
      </c>
      <c r="L18" s="16">
        <f>('Cashflow '!D18-'Cashflow '!C18)/'Cashflow '!C18</f>
        <v>-0.886148007590133</v>
      </c>
    </row>
    <row r="19" ht="20.05" customHeight="1">
      <c r="B19" s="33"/>
      <c r="C19" s="13">
        <v>1146</v>
      </c>
      <c r="D19" s="22"/>
      <c r="E19" s="14"/>
      <c r="F19" s="25">
        <v>91</v>
      </c>
      <c r="G19" s="25">
        <v>-14</v>
      </c>
      <c r="H19" s="25">
        <f>AVERAGE(G16:G19)</f>
        <v>82.25</v>
      </c>
      <c r="I19" s="16">
        <f>C19/C18-1</f>
        <v>0.0315031503150315</v>
      </c>
      <c r="J19" s="16">
        <f>(F19+G19-E19-C19)/C19</f>
        <v>-0.932809773123909</v>
      </c>
      <c r="K19" s="16">
        <f>AVERAGE(L16:L19)</f>
        <v>-0.839474185199932</v>
      </c>
      <c r="L19" s="16">
        <f>('Cashflow '!D19-'Cashflow '!C19)/'Cashflow '!C19</f>
        <v>-0.820186598812553</v>
      </c>
    </row>
    <row r="20" ht="20.05" customHeight="1">
      <c r="B20" s="34">
        <v>2019</v>
      </c>
      <c r="C20" s="13">
        <v>928</v>
      </c>
      <c r="D20" s="22"/>
      <c r="E20" s="14"/>
      <c r="F20" s="25">
        <v>95</v>
      </c>
      <c r="G20" s="25">
        <v>38</v>
      </c>
      <c r="H20" s="25">
        <f>AVERAGE(G17:G20)</f>
        <v>62.75</v>
      </c>
      <c r="I20" s="16">
        <f>C20/C19-1</f>
        <v>-0.19022687609075</v>
      </c>
      <c r="J20" s="16">
        <f>(F20+G20-E20-C20)/C20</f>
        <v>-0.856681034482759</v>
      </c>
      <c r="K20" s="16">
        <f>AVERAGE(L17:L20)</f>
        <v>-0.837872615985651</v>
      </c>
      <c r="L20" s="16">
        <f>('Cashflow '!D20-'Cashflow '!C20)/'Cashflow '!C20</f>
        <v>-0.625754527162978</v>
      </c>
    </row>
    <row r="21" ht="20.05" customHeight="1">
      <c r="B21" s="33"/>
      <c r="C21" s="13">
        <v>668</v>
      </c>
      <c r="D21" s="22"/>
      <c r="E21" s="14"/>
      <c r="F21" s="25">
        <v>93</v>
      </c>
      <c r="G21" s="25">
        <v>-28.4</v>
      </c>
      <c r="H21" s="25">
        <f>AVERAGE(G18:G21)</f>
        <v>28.65</v>
      </c>
      <c r="I21" s="16">
        <f>C21/C20-1</f>
        <v>-0.280172413793103</v>
      </c>
      <c r="J21" s="16">
        <f>(F21+G21-E21-C21)/C21</f>
        <v>-0.903293413173653</v>
      </c>
      <c r="K21" s="16">
        <f>AVERAGE(L18:L21)</f>
        <v>-0.839926353158859</v>
      </c>
      <c r="L21" s="16">
        <f>('Cashflow '!D21-'Cashflow '!C21)/'Cashflow '!C21</f>
        <v>-1.02761627906977</v>
      </c>
    </row>
    <row r="22" ht="20.05" customHeight="1">
      <c r="B22" s="33"/>
      <c r="C22" s="13">
        <v>990</v>
      </c>
      <c r="D22" s="14">
        <v>1111</v>
      </c>
      <c r="E22" s="14"/>
      <c r="F22" s="25">
        <v>94</v>
      </c>
      <c r="G22" s="25">
        <v>41.4</v>
      </c>
      <c r="H22" s="25">
        <f>AVERAGE(G19:G22)</f>
        <v>9.25</v>
      </c>
      <c r="I22" s="16">
        <f>C22/C21-1</f>
        <v>0.482035928143713</v>
      </c>
      <c r="J22" s="16">
        <f>(F22+G22-E22-C22)/C22</f>
        <v>-0.863232323232323</v>
      </c>
      <c r="K22" s="16">
        <f>AVERAGE(L19:L22)</f>
        <v>-0.812324111709847</v>
      </c>
      <c r="L22" s="16">
        <f>('Cashflow '!D22-'Cashflow '!C22)/'Cashflow '!C22</f>
        <v>-0.775739041794088</v>
      </c>
    </row>
    <row r="23" ht="20.05" customHeight="1">
      <c r="B23" s="33"/>
      <c r="C23" s="13">
        <v>1113.4</v>
      </c>
      <c r="D23" s="14">
        <v>1146</v>
      </c>
      <c r="E23" s="14"/>
      <c r="F23" s="25">
        <v>97</v>
      </c>
      <c r="G23" s="25">
        <v>201.6</v>
      </c>
      <c r="H23" s="25">
        <f>AVERAGE(G20:G23)</f>
        <v>63.15</v>
      </c>
      <c r="I23" s="16">
        <f>C23/C22-1</f>
        <v>0.124646464646465</v>
      </c>
      <c r="J23" s="16">
        <f>(F23+G23-E23-C23)/C23</f>
        <v>-0.731812466319382</v>
      </c>
      <c r="K23" s="16">
        <f>AVERAGE(L20:L23)</f>
        <v>-0.890706856819389</v>
      </c>
      <c r="L23" s="16">
        <f>('Cashflow '!D23-'Cashflow '!C23)/'Cashflow '!C23</f>
        <v>-1.13371757925072</v>
      </c>
    </row>
    <row r="24" ht="20.05" customHeight="1">
      <c r="B24" s="34">
        <v>2020</v>
      </c>
      <c r="C24" s="13">
        <v>810</v>
      </c>
      <c r="D24" s="14">
        <v>1067.2</v>
      </c>
      <c r="E24" s="14"/>
      <c r="F24" s="25">
        <v>95</v>
      </c>
      <c r="G24" s="25">
        <v>81</v>
      </c>
      <c r="H24" s="25">
        <f>AVERAGE(G21:G24)</f>
        <v>73.90000000000001</v>
      </c>
      <c r="I24" s="16">
        <f>C24/C23-1</f>
        <v>-0.272498652775283</v>
      </c>
      <c r="J24" s="16">
        <f>(F24+G24-E24-C24)/C24</f>
        <v>-0.782716049382716</v>
      </c>
      <c r="K24" s="16">
        <f>AVERAGE(L21:L24)</f>
        <v>-0.901135694908163</v>
      </c>
      <c r="L24" s="16">
        <f>('Cashflow '!D24-'Cashflow '!C24)/'Cashflow '!C24</f>
        <v>-0.667469879518072</v>
      </c>
    </row>
    <row r="25" ht="20.05" customHeight="1">
      <c r="B25" s="33"/>
      <c r="C25" s="13">
        <v>756</v>
      </c>
      <c r="D25" s="14">
        <v>835</v>
      </c>
      <c r="E25" s="14"/>
      <c r="F25" s="25">
        <v>92</v>
      </c>
      <c r="G25" s="25">
        <v>10.2</v>
      </c>
      <c r="H25" s="25">
        <f>AVERAGE(G22:G25)</f>
        <v>83.55</v>
      </c>
      <c r="I25" s="16">
        <f>C25/C24-1</f>
        <v>-0.06666666666666669</v>
      </c>
      <c r="J25" s="16">
        <f>(F25+G25-E25-C25)/C25</f>
        <v>-0.864814814814815</v>
      </c>
      <c r="K25" s="16">
        <f>AVERAGE(L22:L25)</f>
        <v>-0.805310342341886</v>
      </c>
      <c r="L25" s="16">
        <f>('Cashflow '!D25-'Cashflow '!C25)/'Cashflow '!C25</f>
        <v>-0.644314868804665</v>
      </c>
    </row>
    <row r="26" ht="20.05" customHeight="1">
      <c r="B26" s="33"/>
      <c r="C26" s="13">
        <v>712</v>
      </c>
      <c r="D26" s="14">
        <v>891</v>
      </c>
      <c r="E26" s="14">
        <v>38</v>
      </c>
      <c r="F26" s="25">
        <v>91</v>
      </c>
      <c r="G26" s="25">
        <v>185.8</v>
      </c>
      <c r="H26" s="25">
        <f>AVERAGE(G23:G26)</f>
        <v>119.65</v>
      </c>
      <c r="I26" s="16">
        <f>C26/C25-1</f>
        <v>-0.0582010582010582</v>
      </c>
      <c r="J26" s="16">
        <f>(F26+G26-E26-C26)/C26</f>
        <v>-0.664606741573034</v>
      </c>
      <c r="K26" s="16">
        <f>AVERAGE(L23:L26)</f>
        <v>-0.771640945021856</v>
      </c>
      <c r="L26" s="16">
        <f>('Cashflow '!D26-'Cashflow '!C26)/'Cashflow '!C26</f>
        <v>-0.641061452513966</v>
      </c>
    </row>
    <row r="27" ht="20.05" customHeight="1">
      <c r="B27" s="33"/>
      <c r="C27" s="13">
        <v>1259</v>
      </c>
      <c r="D27" s="14">
        <v>1139.2</v>
      </c>
      <c r="E27" s="14"/>
      <c r="F27" s="25">
        <f>370.2-SUM(F24:F26)</f>
        <v>92.2</v>
      </c>
      <c r="G27" s="25">
        <f>695.49-SUM(G24:G26)</f>
        <v>418.49</v>
      </c>
      <c r="H27" s="25">
        <f>AVERAGE(G24:G27)</f>
        <v>173.8725</v>
      </c>
      <c r="I27" s="16">
        <f>C27/C26-1</f>
        <v>0.768258426966292</v>
      </c>
      <c r="J27" s="16">
        <f>(F27+G27-E27-C27)/C27</f>
        <v>-0.594368546465449</v>
      </c>
      <c r="K27" s="16">
        <f>AVERAGE(L24:L27)</f>
        <v>-0.639781056935633</v>
      </c>
      <c r="L27" s="16">
        <f>('Cashflow '!D27-'Cashflow '!C27)/'Cashflow '!C27</f>
        <v>-0.60627802690583</v>
      </c>
    </row>
    <row r="28" ht="20.05" customHeight="1">
      <c r="B28" s="34">
        <v>2021</v>
      </c>
      <c r="C28" s="13">
        <v>1195.7</v>
      </c>
      <c r="D28" s="14">
        <v>1321.95</v>
      </c>
      <c r="E28" s="22"/>
      <c r="F28" s="25">
        <f>94.6+6.1</f>
        <v>100.7</v>
      </c>
      <c r="G28" s="18">
        <v>297</v>
      </c>
      <c r="H28" s="25">
        <f>AVERAGE(G25:G28)</f>
        <v>227.8725</v>
      </c>
      <c r="I28" s="16">
        <f>C28/C27-1</f>
        <v>-0.0502779984114376</v>
      </c>
      <c r="J28" s="16">
        <f>(F28+G28-E28-C28)/C28</f>
        <v>-0.667391486158735</v>
      </c>
      <c r="K28" s="16">
        <f>AVERAGE(L25:L28)</f>
        <v>-0.608765528129033</v>
      </c>
      <c r="L28" s="16">
        <f>('Cashflow '!D28-'Cashflow '!C28)/'Cashflow '!C28</f>
        <v>-0.543407764291671</v>
      </c>
    </row>
    <row r="29" ht="20.05" customHeight="1">
      <c r="B29" s="33"/>
      <c r="C29" s="13">
        <v>981.3</v>
      </c>
      <c r="D29" s="14">
        <v>1315.27</v>
      </c>
      <c r="E29" s="22"/>
      <c r="F29" s="18">
        <v>80</v>
      </c>
      <c r="G29" s="18">
        <v>204</v>
      </c>
      <c r="H29" s="25">
        <f>AVERAGE(G26:G29)</f>
        <v>276.3225</v>
      </c>
      <c r="I29" s="16">
        <f>C29/C28-1</f>
        <v>-0.179309191268713</v>
      </c>
      <c r="J29" s="16">
        <f>(F29+G29-E29-C29)/C29</f>
        <v>-0.710587995516152</v>
      </c>
      <c r="K29" s="16">
        <f>AVERAGE(L26:L29)</f>
        <v>-0.620222626317761</v>
      </c>
      <c r="L29" s="16">
        <f>('Cashflow '!D29-'Cashflow '!C29)/'Cashflow '!C29</f>
        <v>-0.6901432615595779</v>
      </c>
    </row>
    <row r="30" ht="20.05" customHeight="1">
      <c r="B30" s="33"/>
      <c r="C30" s="13">
        <f>3339.1-SUM(C28:C29)</f>
        <v>1162.1</v>
      </c>
      <c r="D30" s="14">
        <v>1177.56</v>
      </c>
      <c r="E30" s="22"/>
      <c r="F30" s="18">
        <f>273+14.7-SUM(F28:F29)</f>
        <v>107</v>
      </c>
      <c r="G30" s="25">
        <f>751.7-SUM(G28:G29)</f>
        <v>250.7</v>
      </c>
      <c r="H30" s="25">
        <f>AVERAGE(G27:G30)</f>
        <v>292.5475</v>
      </c>
      <c r="I30" s="16">
        <f>C30/C29-1</f>
        <v>0.184245388769999</v>
      </c>
      <c r="J30" s="16">
        <f>(F30+G30-E30-C30)/C30</f>
        <v>-0.692195163927373</v>
      </c>
      <c r="K30" s="16">
        <f>AVERAGE(L27:L30)</f>
        <v>-0.623956559707033</v>
      </c>
      <c r="L30" s="16">
        <f>('Cashflow '!D30-'Cashflow '!C30)/'Cashflow '!C30</f>
        <v>-0.655997186071052</v>
      </c>
    </row>
    <row r="31" ht="20.05" customHeight="1">
      <c r="B31" s="33"/>
      <c r="C31" s="13"/>
      <c r="D31" s="14">
        <f>'Model'!C5</f>
        <v>1278.31</v>
      </c>
      <c r="E31" s="22"/>
      <c r="F31" s="18"/>
      <c r="G31" s="18"/>
      <c r="H31" s="20">
        <f>'Model'!F20</f>
        <v>305.80983744</v>
      </c>
      <c r="I31" s="12"/>
      <c r="J31" s="12">
        <f>'Model'!C6</f>
        <v>-0.692195163927373</v>
      </c>
      <c r="K31" s="22"/>
      <c r="L31" s="16"/>
    </row>
    <row r="32" ht="20.05" customHeight="1">
      <c r="B32" s="34">
        <v>2022</v>
      </c>
      <c r="C32" s="13"/>
      <c r="D32" s="14">
        <f>SUM('Model'!D5)</f>
        <v>1239.9607</v>
      </c>
      <c r="E32" s="22"/>
      <c r="F32" s="25"/>
      <c r="G32" s="18"/>
      <c r="H32" s="18"/>
      <c r="I32" s="12"/>
      <c r="J32" s="12"/>
      <c r="K32" s="12"/>
      <c r="L32" s="12"/>
    </row>
    <row r="33" ht="20.05" customHeight="1">
      <c r="B33" s="33"/>
      <c r="C33" s="13"/>
      <c r="D33" s="14">
        <f>'Model'!E5</f>
        <v>1289.559128</v>
      </c>
      <c r="E33" s="22"/>
      <c r="F33" s="25"/>
      <c r="G33" s="18"/>
      <c r="H33" s="18"/>
      <c r="I33" s="12"/>
      <c r="J33" s="12"/>
      <c r="K33" s="12"/>
      <c r="L33" s="12"/>
    </row>
    <row r="34" ht="20.05" customHeight="1">
      <c r="B34" s="33"/>
      <c r="C34" s="13"/>
      <c r="D34" s="14">
        <f>'Model'!F5</f>
        <v>1341.14149312</v>
      </c>
      <c r="E34" s="22"/>
      <c r="F34" s="25"/>
      <c r="G34" s="18"/>
      <c r="H34" s="18"/>
      <c r="I34" s="12"/>
      <c r="J34" s="12"/>
      <c r="K34" s="12"/>
      <c r="L34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40625" style="35" customWidth="1"/>
    <col min="2" max="2" width="7.79688" style="35" customWidth="1"/>
    <col min="3" max="3" width="8.8125" style="35" customWidth="1"/>
    <col min="4" max="11" width="9.60938" style="35" customWidth="1"/>
    <col min="12" max="16384" width="16.3516" style="35" customWidth="1"/>
  </cols>
  <sheetData>
    <row r="1" ht="18.4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47</v>
      </c>
      <c r="D3" t="s" s="4">
        <v>48</v>
      </c>
      <c r="E3" t="s" s="4">
        <v>49</v>
      </c>
      <c r="F3" t="s" s="4">
        <v>11</v>
      </c>
      <c r="G3" t="s" s="4">
        <v>24</v>
      </c>
      <c r="H3" t="s" s="4">
        <v>50</v>
      </c>
      <c r="I3" t="s" s="4">
        <v>51</v>
      </c>
      <c r="J3" t="s" s="4">
        <v>32</v>
      </c>
      <c r="K3" t="s" s="4">
        <v>28</v>
      </c>
    </row>
    <row r="4" ht="20.25" customHeight="1">
      <c r="B4" s="27">
        <v>2015</v>
      </c>
      <c r="C4" s="36"/>
      <c r="D4" s="30">
        <v>249</v>
      </c>
      <c r="E4" s="30">
        <v>-388</v>
      </c>
      <c r="F4" s="30"/>
      <c r="G4" s="30"/>
      <c r="H4" s="30">
        <v>2</v>
      </c>
      <c r="I4" s="30">
        <f>D4+E4</f>
        <v>-139</v>
      </c>
      <c r="J4" s="30"/>
      <c r="K4" s="30">
        <f>-H4</f>
        <v>-2</v>
      </c>
    </row>
    <row r="5" ht="20.05" customHeight="1">
      <c r="B5" s="33"/>
      <c r="C5" s="37"/>
      <c r="D5" s="25">
        <v>200</v>
      </c>
      <c r="E5" s="25">
        <v>-378</v>
      </c>
      <c r="F5" s="25"/>
      <c r="G5" s="25"/>
      <c r="H5" s="25">
        <v>-376</v>
      </c>
      <c r="I5" s="25">
        <f>D5+E5</f>
        <v>-178</v>
      </c>
      <c r="J5" s="25"/>
      <c r="K5" s="25">
        <f>-H5+K4</f>
        <v>374</v>
      </c>
    </row>
    <row r="6" ht="20.05" customHeight="1">
      <c r="B6" s="33"/>
      <c r="C6" s="37"/>
      <c r="D6" s="25">
        <v>88</v>
      </c>
      <c r="E6" s="25">
        <v>-171</v>
      </c>
      <c r="F6" s="25"/>
      <c r="G6" s="25"/>
      <c r="H6" s="25">
        <v>-5</v>
      </c>
      <c r="I6" s="25">
        <f>D6+E6</f>
        <v>-83</v>
      </c>
      <c r="J6" s="25"/>
      <c r="K6" s="25">
        <f>-H6+K5</f>
        <v>379</v>
      </c>
    </row>
    <row r="7" ht="20.05" customHeight="1">
      <c r="B7" s="33"/>
      <c r="C7" s="37"/>
      <c r="D7" s="25">
        <v>312</v>
      </c>
      <c r="E7" s="25">
        <v>-173</v>
      </c>
      <c r="F7" s="25"/>
      <c r="G7" s="25"/>
      <c r="H7" s="25">
        <v>-2</v>
      </c>
      <c r="I7" s="25">
        <f>D7+E7</f>
        <v>139</v>
      </c>
      <c r="J7" s="25"/>
      <c r="K7" s="25">
        <f>-H7+K6</f>
        <v>381</v>
      </c>
    </row>
    <row r="8" ht="20.05" customHeight="1">
      <c r="B8" s="34">
        <v>2016</v>
      </c>
      <c r="C8" s="37"/>
      <c r="D8" s="25">
        <v>271</v>
      </c>
      <c r="E8" s="25">
        <v>-136</v>
      </c>
      <c r="F8" s="25"/>
      <c r="G8" s="25"/>
      <c r="H8" s="25">
        <v>4</v>
      </c>
      <c r="I8" s="25">
        <f>D8+E8</f>
        <v>135</v>
      </c>
      <c r="J8" s="25">
        <f>AVERAGE(I5:I8)</f>
        <v>3.25</v>
      </c>
      <c r="K8" s="25">
        <f>-H8+K7</f>
        <v>377</v>
      </c>
    </row>
    <row r="9" ht="20.05" customHeight="1">
      <c r="B9" s="33"/>
      <c r="C9" s="37"/>
      <c r="D9" s="25">
        <v>-52</v>
      </c>
      <c r="E9" s="25">
        <v>-80</v>
      </c>
      <c r="F9" s="25"/>
      <c r="G9" s="25"/>
      <c r="H9" s="25">
        <v>-257</v>
      </c>
      <c r="I9" s="25">
        <f>D9+E9</f>
        <v>-132</v>
      </c>
      <c r="J9" s="25">
        <f>AVERAGE(I6:I9)</f>
        <v>14.75</v>
      </c>
      <c r="K9" s="25">
        <f>-H9+K8</f>
        <v>634</v>
      </c>
    </row>
    <row r="10" ht="20.05" customHeight="1">
      <c r="B10" s="33"/>
      <c r="C10" s="37"/>
      <c r="D10" s="25">
        <v>314</v>
      </c>
      <c r="E10" s="25">
        <v>-83</v>
      </c>
      <c r="F10" s="25"/>
      <c r="G10" s="25"/>
      <c r="H10" s="25">
        <v>-3</v>
      </c>
      <c r="I10" s="25">
        <f>D10+E10</f>
        <v>231</v>
      </c>
      <c r="J10" s="25">
        <f>AVERAGE(I7:I10)</f>
        <v>93.25</v>
      </c>
      <c r="K10" s="25">
        <f>-H10+K9</f>
        <v>637</v>
      </c>
    </row>
    <row r="11" ht="20.05" customHeight="1">
      <c r="B11" s="33"/>
      <c r="C11" s="37"/>
      <c r="D11" s="25">
        <v>539</v>
      </c>
      <c r="E11" s="25">
        <v>-97</v>
      </c>
      <c r="F11" s="25"/>
      <c r="G11" s="25"/>
      <c r="H11" s="25">
        <v>-8</v>
      </c>
      <c r="I11" s="25">
        <f>D11+E11</f>
        <v>442</v>
      </c>
      <c r="J11" s="25">
        <f>AVERAGE(I8:I11)</f>
        <v>169</v>
      </c>
      <c r="K11" s="25">
        <f>-H11+K10</f>
        <v>645</v>
      </c>
    </row>
    <row r="12" ht="20.05" customHeight="1">
      <c r="B12" s="34">
        <v>2017</v>
      </c>
      <c r="C12" s="24">
        <v>1293</v>
      </c>
      <c r="D12" s="25">
        <v>618</v>
      </c>
      <c r="E12" s="25">
        <v>-85</v>
      </c>
      <c r="F12" s="25"/>
      <c r="G12" s="25"/>
      <c r="H12" s="25">
        <v>-3</v>
      </c>
      <c r="I12" s="25">
        <f>D12+E12</f>
        <v>533</v>
      </c>
      <c r="J12" s="25">
        <f>AVERAGE(I9:I12)</f>
        <v>268.5</v>
      </c>
      <c r="K12" s="25">
        <f>-H12+K11</f>
        <v>648</v>
      </c>
    </row>
    <row r="13" ht="20.05" customHeight="1">
      <c r="B13" s="33"/>
      <c r="C13" s="24">
        <v>930</v>
      </c>
      <c r="D13" s="25">
        <v>-112</v>
      </c>
      <c r="E13" s="25">
        <v>-103</v>
      </c>
      <c r="F13" s="25"/>
      <c r="G13" s="25"/>
      <c r="H13" s="25">
        <v>-2</v>
      </c>
      <c r="I13" s="25">
        <f>D13+E13</f>
        <v>-215</v>
      </c>
      <c r="J13" s="25">
        <f>AVERAGE(I10:I13)</f>
        <v>247.75</v>
      </c>
      <c r="K13" s="25">
        <f>-H13+K12</f>
        <v>650</v>
      </c>
    </row>
    <row r="14" ht="20.05" customHeight="1">
      <c r="B14" s="33"/>
      <c r="C14" s="24">
        <v>1192</v>
      </c>
      <c r="D14" s="25">
        <v>537</v>
      </c>
      <c r="E14" s="25">
        <v>-266</v>
      </c>
      <c r="F14" s="25"/>
      <c r="G14" s="25"/>
      <c r="H14" s="25">
        <v>-240</v>
      </c>
      <c r="I14" s="25">
        <f>D14+E14</f>
        <v>271</v>
      </c>
      <c r="J14" s="25">
        <f>AVERAGE(I11:I14)</f>
        <v>257.75</v>
      </c>
      <c r="K14" s="25">
        <f>-H14+K13</f>
        <v>890</v>
      </c>
    </row>
    <row r="15" ht="20.05" customHeight="1">
      <c r="B15" s="33"/>
      <c r="C15" s="24">
        <v>1159</v>
      </c>
      <c r="D15" s="25">
        <v>219</v>
      </c>
      <c r="E15" s="25">
        <v>-71</v>
      </c>
      <c r="F15" s="25"/>
      <c r="G15" s="25"/>
      <c r="H15" s="25">
        <v>-3</v>
      </c>
      <c r="I15" s="25">
        <f>D15+E15</f>
        <v>148</v>
      </c>
      <c r="J15" s="25">
        <f>AVERAGE(I12:I15)</f>
        <v>184.25</v>
      </c>
      <c r="K15" s="25">
        <f>-H15+K14</f>
        <v>893</v>
      </c>
    </row>
    <row r="16" ht="20.05" customHeight="1">
      <c r="B16" s="34">
        <v>2018</v>
      </c>
      <c r="C16" s="17">
        <v>995</v>
      </c>
      <c r="D16" s="25">
        <v>366</v>
      </c>
      <c r="E16" s="25">
        <v>-54</v>
      </c>
      <c r="F16" s="25"/>
      <c r="G16" s="25"/>
      <c r="H16" s="25">
        <v>-0.6</v>
      </c>
      <c r="I16" s="25">
        <f>D16+E16</f>
        <v>312</v>
      </c>
      <c r="J16" s="25">
        <f>AVERAGE(I13:I16)</f>
        <v>129</v>
      </c>
      <c r="K16" s="25">
        <f>-H16+K15</f>
        <v>893.6</v>
      </c>
    </row>
    <row r="17" ht="20.05" customHeight="1">
      <c r="B17" s="33"/>
      <c r="C17" s="24">
        <v>1804</v>
      </c>
      <c r="D17" s="25">
        <v>-35</v>
      </c>
      <c r="E17" s="25">
        <v>-54</v>
      </c>
      <c r="F17" s="25"/>
      <c r="G17" s="25"/>
      <c r="H17" s="25">
        <v>-3.4</v>
      </c>
      <c r="I17" s="25">
        <f>D17+E17</f>
        <v>-89</v>
      </c>
      <c r="J17" s="25">
        <f>AVERAGE(I14:I17)</f>
        <v>160.5</v>
      </c>
      <c r="K17" s="25">
        <f>-H17+K16</f>
        <v>897</v>
      </c>
    </row>
    <row r="18" ht="20.05" customHeight="1">
      <c r="B18" s="33"/>
      <c r="C18" s="24">
        <v>1054</v>
      </c>
      <c r="D18" s="25">
        <v>120</v>
      </c>
      <c r="E18" s="25">
        <v>-122</v>
      </c>
      <c r="F18" s="25"/>
      <c r="G18" s="25"/>
      <c r="H18" s="25">
        <v>-311</v>
      </c>
      <c r="I18" s="25">
        <f>D18+E18</f>
        <v>-2</v>
      </c>
      <c r="J18" s="25">
        <f>AVERAGE(I15:I18)</f>
        <v>92.25</v>
      </c>
      <c r="K18" s="25">
        <f>-H18+K17</f>
        <v>1208</v>
      </c>
    </row>
    <row r="19" ht="20.05" customHeight="1">
      <c r="B19" s="33"/>
      <c r="C19" s="24">
        <v>1179</v>
      </c>
      <c r="D19" s="25">
        <v>212</v>
      </c>
      <c r="E19" s="25">
        <v>-114</v>
      </c>
      <c r="F19" s="25"/>
      <c r="G19" s="25"/>
      <c r="H19" s="25">
        <v>-3</v>
      </c>
      <c r="I19" s="25">
        <f>D19+E19</f>
        <v>98</v>
      </c>
      <c r="J19" s="25">
        <f>AVERAGE(I16:I19)</f>
        <v>79.75</v>
      </c>
      <c r="K19" s="25">
        <f>-H19+K18</f>
        <v>1211</v>
      </c>
    </row>
    <row r="20" ht="20.05" customHeight="1">
      <c r="B20" s="34">
        <v>2019</v>
      </c>
      <c r="C20" s="24">
        <v>994</v>
      </c>
      <c r="D20" s="25">
        <v>372</v>
      </c>
      <c r="E20" s="25">
        <v>-443</v>
      </c>
      <c r="F20" s="25"/>
      <c r="G20" s="25"/>
      <c r="H20" s="25">
        <v>-1.3</v>
      </c>
      <c r="I20" s="25">
        <f>D20+E20</f>
        <v>-71</v>
      </c>
      <c r="J20" s="25">
        <f>AVERAGE(I17:I20)</f>
        <v>-16</v>
      </c>
      <c r="K20" s="25">
        <f>-H20+K19</f>
        <v>1212.3</v>
      </c>
    </row>
    <row r="21" ht="20.05" customHeight="1">
      <c r="B21" s="33"/>
      <c r="C21" s="24">
        <v>688</v>
      </c>
      <c r="D21" s="25">
        <v>-19</v>
      </c>
      <c r="E21" s="25">
        <v>-103</v>
      </c>
      <c r="F21" s="25"/>
      <c r="G21" s="25"/>
      <c r="H21" s="25">
        <v>-129.7</v>
      </c>
      <c r="I21" s="25">
        <f>D21+E21</f>
        <v>-122</v>
      </c>
      <c r="J21" s="25">
        <f>AVERAGE(I18:I21)</f>
        <v>-24.25</v>
      </c>
      <c r="K21" s="25">
        <f>-H21+K20</f>
        <v>1342</v>
      </c>
    </row>
    <row r="22" ht="20.05" customHeight="1">
      <c r="B22" s="33"/>
      <c r="C22" s="24">
        <v>981</v>
      </c>
      <c r="D22" s="25">
        <v>220</v>
      </c>
      <c r="E22" s="25">
        <v>-114</v>
      </c>
      <c r="F22" s="25"/>
      <c r="G22" s="25"/>
      <c r="H22" s="25">
        <v>-4</v>
      </c>
      <c r="I22" s="25">
        <f>D22+E22</f>
        <v>106</v>
      </c>
      <c r="J22" s="25">
        <f>AVERAGE(I19:I22)</f>
        <v>2.75</v>
      </c>
      <c r="K22" s="25">
        <f>-H22+K21</f>
        <v>1346</v>
      </c>
    </row>
    <row r="23" ht="20.05" customHeight="1">
      <c r="B23" s="33"/>
      <c r="C23" s="24">
        <v>694</v>
      </c>
      <c r="D23" s="25">
        <v>-92.8</v>
      </c>
      <c r="E23" s="25">
        <v>-201.4</v>
      </c>
      <c r="F23" s="25"/>
      <c r="G23" s="25"/>
      <c r="H23" s="25">
        <v>0</v>
      </c>
      <c r="I23" s="25">
        <f>D23+E23</f>
        <v>-294.2</v>
      </c>
      <c r="J23" s="25">
        <f>AVERAGE(I20:I23)</f>
        <v>-95.3</v>
      </c>
      <c r="K23" s="25">
        <f>-H23+K22</f>
        <v>1346</v>
      </c>
    </row>
    <row r="24" ht="20.05" customHeight="1">
      <c r="B24" s="34">
        <v>2020</v>
      </c>
      <c r="C24" s="24">
        <v>830</v>
      </c>
      <c r="D24" s="25">
        <v>276</v>
      </c>
      <c r="E24" s="25">
        <v>-94</v>
      </c>
      <c r="F24" s="25"/>
      <c r="G24" s="25"/>
      <c r="H24" s="25">
        <v>-2.7</v>
      </c>
      <c r="I24" s="25">
        <f>D24+E24</f>
        <v>182</v>
      </c>
      <c r="J24" s="25">
        <f>AVERAGE(I21:I24)</f>
        <v>-32.05</v>
      </c>
      <c r="K24" s="25">
        <f>-H24+K23</f>
        <v>1348.7</v>
      </c>
    </row>
    <row r="25" ht="20.05" customHeight="1">
      <c r="B25" s="33"/>
      <c r="C25" s="24">
        <v>1029</v>
      </c>
      <c r="D25" s="25">
        <v>366</v>
      </c>
      <c r="E25" s="25">
        <v>-83</v>
      </c>
      <c r="F25" s="25"/>
      <c r="G25" s="25"/>
      <c r="H25" s="25">
        <v>-2.3</v>
      </c>
      <c r="I25" s="25">
        <f>D25+E25</f>
        <v>283</v>
      </c>
      <c r="J25" s="25">
        <f>AVERAGE(I22:I25)</f>
        <v>69.2</v>
      </c>
      <c r="K25" s="25">
        <f>-H25+K24</f>
        <v>1351</v>
      </c>
    </row>
    <row r="26" ht="20.05" customHeight="1">
      <c r="B26" s="33"/>
      <c r="C26" s="24">
        <f>2575-C25-C24</f>
        <v>716</v>
      </c>
      <c r="D26" s="25">
        <f>899-D25-D24</f>
        <v>257</v>
      </c>
      <c r="E26" s="25">
        <f>-270-E25-E24</f>
        <v>-93</v>
      </c>
      <c r="F26" s="25"/>
      <c r="G26" s="25"/>
      <c r="H26" s="25">
        <f>-110-H25-H24</f>
        <v>-105</v>
      </c>
      <c r="I26" s="25">
        <f>D26+E26</f>
        <v>164</v>
      </c>
      <c r="J26" s="25">
        <f>AVERAGE(I23:I26)</f>
        <v>83.7</v>
      </c>
      <c r="K26" s="25">
        <f>-H26+K25</f>
        <v>1456</v>
      </c>
    </row>
    <row r="27" ht="20.05" customHeight="1">
      <c r="B27" s="33"/>
      <c r="C27" s="24">
        <v>1115</v>
      </c>
      <c r="D27" s="25">
        <v>439</v>
      </c>
      <c r="E27" s="25">
        <v>-131</v>
      </c>
      <c r="F27" s="25"/>
      <c r="G27" s="25"/>
      <c r="H27" s="25">
        <v>-3</v>
      </c>
      <c r="I27" s="25">
        <f>D27+E27</f>
        <v>308</v>
      </c>
      <c r="J27" s="25">
        <f>AVERAGE(I24:I27)</f>
        <v>234.25</v>
      </c>
      <c r="K27" s="25">
        <f>-H27+K26</f>
        <v>1459</v>
      </c>
    </row>
    <row r="28" ht="20.05" customHeight="1">
      <c r="B28" s="34">
        <v>2021</v>
      </c>
      <c r="C28" s="24">
        <v>1079.3</v>
      </c>
      <c r="D28" s="25">
        <v>492.8</v>
      </c>
      <c r="E28" s="25">
        <v>-68.7</v>
      </c>
      <c r="F28" s="25">
        <v>-1.3</v>
      </c>
      <c r="G28" s="25"/>
      <c r="H28" s="25">
        <f>-1.3</f>
        <v>-1.3</v>
      </c>
      <c r="I28" s="25">
        <f>D28+E28</f>
        <v>424.1</v>
      </c>
      <c r="J28" s="25">
        <f>AVERAGE(I25:I28)</f>
        <v>294.775</v>
      </c>
      <c r="K28" s="25">
        <f>-H28+K27</f>
        <v>1460.3</v>
      </c>
    </row>
    <row r="29" ht="20.05" customHeight="1">
      <c r="B29" s="33"/>
      <c r="C29" s="24">
        <v>1165.7</v>
      </c>
      <c r="D29" s="25">
        <v>361.2</v>
      </c>
      <c r="E29" s="25">
        <v>-72.3</v>
      </c>
      <c r="F29" s="25">
        <v>-1.3</v>
      </c>
      <c r="G29" s="25"/>
      <c r="H29" s="25">
        <v>-1.3</v>
      </c>
      <c r="I29" s="25">
        <f>D29+E29</f>
        <v>288.9</v>
      </c>
      <c r="J29" s="25">
        <f>AVERAGE(I26:I29)</f>
        <v>296.25</v>
      </c>
      <c r="K29" s="25">
        <f>-H29+K28</f>
        <v>1461.6</v>
      </c>
    </row>
    <row r="30" ht="20.05" customHeight="1">
      <c r="B30" s="33"/>
      <c r="C30" s="24">
        <f>3382.2-SUM(C28:C29)</f>
        <v>1137.2</v>
      </c>
      <c r="D30" s="25">
        <f>1245.2-SUM(D28:D29)</f>
        <v>391.2</v>
      </c>
      <c r="E30" s="25">
        <f>-223.8-SUM(E28:E29)</f>
        <v>-82.8</v>
      </c>
      <c r="F30" s="25">
        <f>-3.4-F29-F28</f>
        <v>-0.8</v>
      </c>
      <c r="G30" s="25">
        <v>-136.36</v>
      </c>
      <c r="H30" s="25">
        <f>-139.7-SUM(H28:H29)</f>
        <v>-137.1</v>
      </c>
      <c r="I30" s="25">
        <f>D30+E30</f>
        <v>308.4</v>
      </c>
      <c r="J30" s="25">
        <f>AVERAGE(I27:I30)</f>
        <v>332.35</v>
      </c>
      <c r="K30" s="25">
        <f>-H30+K29</f>
        <v>1598.7</v>
      </c>
    </row>
    <row r="31" ht="20.05" customHeight="1">
      <c r="B31" s="33"/>
      <c r="C31" s="24"/>
      <c r="D31" s="25"/>
      <c r="E31" s="25"/>
      <c r="F31" s="25"/>
      <c r="G31" s="25"/>
      <c r="H31" s="25"/>
      <c r="I31" s="25"/>
      <c r="J31" s="25">
        <f>SUM('Model'!F8:F9)</f>
        <v>330.00983744</v>
      </c>
      <c r="K31" s="25">
        <f>'Model'!F31</f>
        <v>2636.175895314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9.8516" style="38" customWidth="1"/>
    <col min="2" max="2" width="6.53906" style="38" customWidth="1"/>
    <col min="3" max="11" width="9.53906" style="38" customWidth="1"/>
    <col min="12" max="16384" width="16.3516" style="38" customWidth="1"/>
  </cols>
  <sheetData>
    <row r="1" ht="7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52</v>
      </c>
      <c r="D3" t="s" s="4">
        <v>53</v>
      </c>
      <c r="E3" t="s" s="4">
        <v>22</v>
      </c>
      <c r="F3" t="s" s="4">
        <v>19</v>
      </c>
      <c r="G3" t="s" s="4">
        <v>11</v>
      </c>
      <c r="H3" t="s" s="4">
        <v>24</v>
      </c>
      <c r="I3" t="s" s="4">
        <v>54</v>
      </c>
      <c r="J3" t="s" s="4">
        <v>55</v>
      </c>
      <c r="K3" t="s" s="4">
        <v>34</v>
      </c>
    </row>
    <row r="4" ht="20.25" customHeight="1">
      <c r="B4" s="27">
        <v>2015</v>
      </c>
      <c r="C4" s="39">
        <v>1229</v>
      </c>
      <c r="D4" s="30">
        <v>8988</v>
      </c>
      <c r="E4" s="30">
        <f>D4-C4</f>
        <v>7759</v>
      </c>
      <c r="F4" s="30"/>
      <c r="G4" s="30">
        <v>1825</v>
      </c>
      <c r="H4" s="30">
        <v>7162</v>
      </c>
      <c r="I4" s="30">
        <f>G4+H4-C4-E4</f>
        <v>-1</v>
      </c>
      <c r="J4" s="30">
        <f>C4-G4</f>
        <v>-596</v>
      </c>
      <c r="K4" s="30"/>
    </row>
    <row r="5" ht="20.05" customHeight="1">
      <c r="B5" s="33"/>
      <c r="C5" s="24">
        <v>651</v>
      </c>
      <c r="D5" s="25">
        <v>8732</v>
      </c>
      <c r="E5" s="25">
        <f>D5-C5</f>
        <v>8081</v>
      </c>
      <c r="F5" s="25"/>
      <c r="G5" s="25">
        <v>1774</v>
      </c>
      <c r="H5" s="25">
        <v>6958</v>
      </c>
      <c r="I5" s="25">
        <f>G5+H5-C5-E5</f>
        <v>0</v>
      </c>
      <c r="J5" s="25">
        <f>C5-G5</f>
        <v>-1123</v>
      </c>
      <c r="K5" s="25"/>
    </row>
    <row r="6" ht="20.05" customHeight="1">
      <c r="B6" s="33"/>
      <c r="C6" s="24">
        <v>622</v>
      </c>
      <c r="D6" s="25">
        <v>8835</v>
      </c>
      <c r="E6" s="25">
        <f>D6-C6</f>
        <v>8213</v>
      </c>
      <c r="F6" s="25"/>
      <c r="G6" s="25">
        <v>1705</v>
      </c>
      <c r="H6" s="25">
        <v>7130</v>
      </c>
      <c r="I6" s="25">
        <f>G6+H6-C6-E6</f>
        <v>0</v>
      </c>
      <c r="J6" s="25">
        <f>C6-G6</f>
        <v>-1083</v>
      </c>
      <c r="K6" s="25"/>
    </row>
    <row r="7" ht="20.05" customHeight="1">
      <c r="B7" s="33"/>
      <c r="C7" s="24">
        <v>737</v>
      </c>
      <c r="D7" s="25">
        <v>8849</v>
      </c>
      <c r="E7" s="25">
        <f>D7-C7</f>
        <v>8112</v>
      </c>
      <c r="F7" s="25"/>
      <c r="G7" s="25">
        <v>1511</v>
      </c>
      <c r="H7" s="25">
        <v>7338</v>
      </c>
      <c r="I7" s="25">
        <f>G7+H7-C7-E7</f>
        <v>0</v>
      </c>
      <c r="J7" s="25">
        <f>C7-G7</f>
        <v>-774</v>
      </c>
      <c r="K7" s="25"/>
    </row>
    <row r="8" ht="20.05" customHeight="1">
      <c r="B8" s="34">
        <v>2016</v>
      </c>
      <c r="C8" s="24">
        <v>863</v>
      </c>
      <c r="D8" s="25">
        <v>9016</v>
      </c>
      <c r="E8" s="25">
        <f>D8-C8</f>
        <v>8153</v>
      </c>
      <c r="F8" s="25"/>
      <c r="G8" s="25">
        <v>1619</v>
      </c>
      <c r="H8" s="25">
        <v>7397</v>
      </c>
      <c r="I8" s="25">
        <f>G8+H8-C8-E8</f>
        <v>0</v>
      </c>
      <c r="J8" s="25">
        <f>C8-G8</f>
        <v>-756</v>
      </c>
      <c r="K8" s="25"/>
    </row>
    <row r="9" ht="20.05" customHeight="1">
      <c r="B9" s="33"/>
      <c r="C9" s="24">
        <v>473</v>
      </c>
      <c r="D9" s="25">
        <v>8692</v>
      </c>
      <c r="E9" s="25">
        <f>D9-C9</f>
        <v>8219</v>
      </c>
      <c r="F9" s="25"/>
      <c r="G9" s="25">
        <v>1497</v>
      </c>
      <c r="H9" s="25">
        <v>7195</v>
      </c>
      <c r="I9" s="25">
        <f>G9+H9-C9-E9</f>
        <v>0</v>
      </c>
      <c r="J9" s="25">
        <f>C9-G9</f>
        <v>-1024</v>
      </c>
      <c r="K9" s="25"/>
    </row>
    <row r="10" ht="20.05" customHeight="1">
      <c r="B10" s="33"/>
      <c r="C10" s="24">
        <v>696</v>
      </c>
      <c r="D10" s="25">
        <v>8953</v>
      </c>
      <c r="E10" s="25">
        <f>D10-C10</f>
        <v>8257</v>
      </c>
      <c r="F10" s="25"/>
      <c r="G10" s="25">
        <v>1597</v>
      </c>
      <c r="H10" s="25">
        <v>7356</v>
      </c>
      <c r="I10" s="25">
        <f>G10+H10-C10-E10</f>
        <v>0</v>
      </c>
      <c r="J10" s="25">
        <f>C10-G10</f>
        <v>-901</v>
      </c>
      <c r="K10" s="25"/>
    </row>
    <row r="11" ht="20.05" customHeight="1">
      <c r="B11" s="33"/>
      <c r="C11" s="24">
        <v>1140</v>
      </c>
      <c r="D11" s="25">
        <v>9459</v>
      </c>
      <c r="E11" s="25">
        <f>D11-C11</f>
        <v>8319</v>
      </c>
      <c r="F11" s="25"/>
      <c r="G11" s="25">
        <v>1813</v>
      </c>
      <c r="H11" s="25">
        <v>7646</v>
      </c>
      <c r="I11" s="25">
        <f>G11+H11-C11-E11</f>
        <v>0</v>
      </c>
      <c r="J11" s="25">
        <f>C11-G11</f>
        <v>-673</v>
      </c>
      <c r="K11" s="25"/>
    </row>
    <row r="12" ht="20.05" customHeight="1">
      <c r="B12" s="34">
        <v>2017</v>
      </c>
      <c r="C12" s="24">
        <v>1667</v>
      </c>
      <c r="D12" s="25">
        <v>9842</v>
      </c>
      <c r="E12" s="25">
        <f>D12-C12</f>
        <v>8175</v>
      </c>
      <c r="F12" s="25"/>
      <c r="G12" s="25">
        <v>1823</v>
      </c>
      <c r="H12" s="25">
        <v>8020</v>
      </c>
      <c r="I12" s="25">
        <f>G12+H12-C12-E12</f>
        <v>1</v>
      </c>
      <c r="J12" s="25">
        <f>C12-G12</f>
        <v>-156</v>
      </c>
      <c r="K12" s="25"/>
    </row>
    <row r="13" ht="20.05" customHeight="1">
      <c r="B13" s="33"/>
      <c r="C13" s="24">
        <v>1451</v>
      </c>
      <c r="D13" s="25">
        <v>9655</v>
      </c>
      <c r="E13" s="25">
        <f>D13-C13</f>
        <v>8204</v>
      </c>
      <c r="F13" s="25"/>
      <c r="G13" s="25">
        <v>1790</v>
      </c>
      <c r="H13" s="25">
        <v>7865</v>
      </c>
      <c r="I13" s="25">
        <f>G13+H13-C13-E13</f>
        <v>0</v>
      </c>
      <c r="J13" s="25">
        <f>C13-G13</f>
        <v>-339</v>
      </c>
      <c r="K13" s="25"/>
    </row>
    <row r="14" ht="20.05" customHeight="1">
      <c r="B14" s="33"/>
      <c r="C14" s="24">
        <v>1486</v>
      </c>
      <c r="D14" s="25">
        <v>9787</v>
      </c>
      <c r="E14" s="25">
        <f>D14-C14</f>
        <v>8301</v>
      </c>
      <c r="F14" s="25"/>
      <c r="G14" s="25">
        <v>1741</v>
      </c>
      <c r="H14" s="25">
        <v>8046</v>
      </c>
      <c r="I14" s="25">
        <f>G14+H14-C14-E14</f>
        <v>0</v>
      </c>
      <c r="J14" s="25">
        <f>C14-G14</f>
        <v>-255</v>
      </c>
      <c r="K14" s="25"/>
    </row>
    <row r="15" ht="20.05" customHeight="1">
      <c r="B15" s="33"/>
      <c r="C15" s="24">
        <v>1633</v>
      </c>
      <c r="D15" s="25">
        <v>9744</v>
      </c>
      <c r="E15" s="25">
        <f>D15-C15</f>
        <v>8111</v>
      </c>
      <c r="F15" s="25"/>
      <c r="G15" s="25">
        <v>1622</v>
      </c>
      <c r="H15" s="25">
        <v>8122</v>
      </c>
      <c r="I15" s="25">
        <f>G15+H15-C15-E15</f>
        <v>0</v>
      </c>
      <c r="J15" s="25">
        <f>C15-G15</f>
        <v>11</v>
      </c>
      <c r="K15" s="25"/>
    </row>
    <row r="16" ht="20.05" customHeight="1">
      <c r="B16" s="34">
        <v>2018</v>
      </c>
      <c r="C16" s="24">
        <v>1952</v>
      </c>
      <c r="D16" s="25">
        <v>10248</v>
      </c>
      <c r="E16" s="25">
        <f>D16-C16</f>
        <v>8296</v>
      </c>
      <c r="F16" s="25"/>
      <c r="G16" s="25">
        <v>1917</v>
      </c>
      <c r="H16" s="25">
        <v>8331</v>
      </c>
      <c r="I16" s="25">
        <f>G16+H16-C16-E16</f>
        <v>0</v>
      </c>
      <c r="J16" s="25">
        <f>C16-G16</f>
        <v>35</v>
      </c>
      <c r="K16" s="25"/>
    </row>
    <row r="17" ht="20.05" customHeight="1">
      <c r="B17" s="33"/>
      <c r="C17" s="24">
        <v>1882</v>
      </c>
      <c r="D17" s="25">
        <v>10427</v>
      </c>
      <c r="E17" s="25">
        <f>D17-C17</f>
        <v>8545</v>
      </c>
      <c r="F17" s="25">
        <v>3343</v>
      </c>
      <c r="G17" s="25">
        <v>2260</v>
      </c>
      <c r="H17" s="25">
        <v>8167</v>
      </c>
      <c r="I17" s="25">
        <f>G17+H17-C17-E17</f>
        <v>0</v>
      </c>
      <c r="J17" s="25">
        <f>C17-G17</f>
        <v>-378</v>
      </c>
      <c r="K17" s="25"/>
    </row>
    <row r="18" ht="20.05" customHeight="1">
      <c r="B18" s="33"/>
      <c r="C18" s="24">
        <v>1580</v>
      </c>
      <c r="D18" s="25">
        <v>10189</v>
      </c>
      <c r="E18" s="25">
        <f>D18-C18</f>
        <v>8609</v>
      </c>
      <c r="F18" s="25">
        <v>3435</v>
      </c>
      <c r="G18" s="25">
        <v>1892</v>
      </c>
      <c r="H18" s="25">
        <v>8297</v>
      </c>
      <c r="I18" s="25">
        <f>G18+H18-C18-E18</f>
        <v>0</v>
      </c>
      <c r="J18" s="25">
        <f>C18-G18</f>
        <v>-312</v>
      </c>
      <c r="K18" s="25"/>
    </row>
    <row r="19" ht="20.05" customHeight="1">
      <c r="B19" s="33"/>
      <c r="C19" s="24">
        <v>1663</v>
      </c>
      <c r="D19" s="25">
        <v>10037</v>
      </c>
      <c r="E19" s="25">
        <f>D19-C19</f>
        <v>8374</v>
      </c>
      <c r="F19" s="25">
        <v>3527</v>
      </c>
      <c r="G19" s="25">
        <v>1705</v>
      </c>
      <c r="H19" s="25">
        <v>8332</v>
      </c>
      <c r="I19" s="25">
        <f>G19+H19-C19-E19</f>
        <v>0</v>
      </c>
      <c r="J19" s="25">
        <f>C19-G19</f>
        <v>-42</v>
      </c>
      <c r="K19" s="25"/>
    </row>
    <row r="20" ht="20.05" customHeight="1">
      <c r="B20" s="34">
        <v>2019</v>
      </c>
      <c r="C20" s="24">
        <v>1586</v>
      </c>
      <c r="D20" s="25">
        <v>10325</v>
      </c>
      <c r="E20" s="25">
        <f>D20-C20</f>
        <v>8739</v>
      </c>
      <c r="F20" s="25">
        <v>3624</v>
      </c>
      <c r="G20" s="25">
        <v>1956</v>
      </c>
      <c r="H20" s="25">
        <v>8369</v>
      </c>
      <c r="I20" s="25">
        <f>G20+H20-C20-E20</f>
        <v>0</v>
      </c>
      <c r="J20" s="25">
        <f>C20-G20</f>
        <v>-370</v>
      </c>
      <c r="K20" s="25"/>
    </row>
    <row r="21" ht="20.05" customHeight="1">
      <c r="B21" s="33"/>
      <c r="C21" s="24">
        <v>1330</v>
      </c>
      <c r="D21" s="25">
        <v>10197</v>
      </c>
      <c r="E21" s="25">
        <f>D21-C21</f>
        <v>8867</v>
      </c>
      <c r="F21" s="25">
        <v>3717</v>
      </c>
      <c r="G21" s="25">
        <v>1987</v>
      </c>
      <c r="H21" s="25">
        <v>8210</v>
      </c>
      <c r="I21" s="25">
        <f>G21+H21-C21-E21</f>
        <v>0</v>
      </c>
      <c r="J21" s="25">
        <f>C21-G21</f>
        <v>-657</v>
      </c>
      <c r="K21" s="25"/>
    </row>
    <row r="22" ht="20.05" customHeight="1">
      <c r="B22" s="33"/>
      <c r="C22" s="24">
        <v>1435</v>
      </c>
      <c r="D22" s="25">
        <v>10210</v>
      </c>
      <c r="E22" s="25">
        <f>D22-C22</f>
        <v>8775</v>
      </c>
      <c r="F22" s="25">
        <v>3813</v>
      </c>
      <c r="G22" s="25">
        <v>1959</v>
      </c>
      <c r="H22" s="25">
        <v>8251</v>
      </c>
      <c r="I22" s="25">
        <f>G22+H22-C22-E22</f>
        <v>0</v>
      </c>
      <c r="J22" s="25">
        <f>C22-G22</f>
        <v>-524</v>
      </c>
      <c r="K22" s="25"/>
    </row>
    <row r="23" ht="20.05" customHeight="1">
      <c r="B23" s="33"/>
      <c r="C23" s="24">
        <v>1132</v>
      </c>
      <c r="D23" s="25">
        <v>10225</v>
      </c>
      <c r="E23" s="25">
        <f>D23-C23</f>
        <v>9093</v>
      </c>
      <c r="F23" s="25">
        <v>3911</v>
      </c>
      <c r="G23" s="25">
        <v>1727</v>
      </c>
      <c r="H23" s="25">
        <v>8498</v>
      </c>
      <c r="I23" s="25">
        <f>G23+H23-C23-E23</f>
        <v>0</v>
      </c>
      <c r="J23" s="25">
        <f>C23-G23</f>
        <v>-595</v>
      </c>
      <c r="K23" s="25"/>
    </row>
    <row r="24" ht="20.05" customHeight="1">
      <c r="B24" s="34">
        <v>2020</v>
      </c>
      <c r="C24" s="24">
        <v>1393</v>
      </c>
      <c r="D24" s="25">
        <v>10470</v>
      </c>
      <c r="E24" s="25">
        <f>D24-C24</f>
        <v>9077</v>
      </c>
      <c r="F24" s="25">
        <v>4007</v>
      </c>
      <c r="G24" s="25">
        <v>1889</v>
      </c>
      <c r="H24" s="25">
        <v>8581</v>
      </c>
      <c r="I24" s="25">
        <f>G24+H24-C24-E24</f>
        <v>0</v>
      </c>
      <c r="J24" s="25">
        <f>C24-G24</f>
        <v>-496</v>
      </c>
      <c r="K24" s="25"/>
    </row>
    <row r="25" ht="20.05" customHeight="1">
      <c r="B25" s="33"/>
      <c r="C25" s="24">
        <v>1607</v>
      </c>
      <c r="D25" s="25">
        <v>10379</v>
      </c>
      <c r="E25" s="25">
        <f>D25-C25</f>
        <v>8772</v>
      </c>
      <c r="F25" s="25">
        <v>4100</v>
      </c>
      <c r="G25" s="25">
        <v>1801</v>
      </c>
      <c r="H25" s="25">
        <v>8579</v>
      </c>
      <c r="I25" s="25">
        <f>G25+H25-C25-E25</f>
        <v>1</v>
      </c>
      <c r="J25" s="25">
        <f>C25-G25</f>
        <v>-194</v>
      </c>
      <c r="K25" s="25"/>
    </row>
    <row r="26" ht="20.05" customHeight="1">
      <c r="B26" s="33"/>
      <c r="C26" s="24">
        <v>1686</v>
      </c>
      <c r="D26" s="25">
        <v>10541</v>
      </c>
      <c r="E26" s="25">
        <f>D26-C26</f>
        <v>8855</v>
      </c>
      <c r="F26" s="25">
        <f>4192</f>
        <v>4192</v>
      </c>
      <c r="G26" s="25">
        <v>1880</v>
      </c>
      <c r="H26" s="25">
        <v>8662</v>
      </c>
      <c r="I26" s="25">
        <f>G26+H26-C26-E26</f>
        <v>1</v>
      </c>
      <c r="J26" s="25">
        <f>C26-G26</f>
        <v>-194</v>
      </c>
      <c r="K26" s="25"/>
    </row>
    <row r="27" ht="20.05" customHeight="1">
      <c r="B27" s="33"/>
      <c r="C27" s="24">
        <v>1959</v>
      </c>
      <c r="D27" s="25">
        <v>10923</v>
      </c>
      <c r="E27" s="25">
        <f>D27-C27</f>
        <v>8964</v>
      </c>
      <c r="F27" s="25">
        <f>4283</f>
        <v>4283</v>
      </c>
      <c r="G27" s="25">
        <v>1637</v>
      </c>
      <c r="H27" s="25">
        <v>9286</v>
      </c>
      <c r="I27" s="25">
        <f>G27+H27-C27-E27</f>
        <v>0</v>
      </c>
      <c r="J27" s="25">
        <f>C27-G27</f>
        <v>322</v>
      </c>
      <c r="K27" s="25"/>
    </row>
    <row r="28" ht="20.05" customHeight="1">
      <c r="B28" s="34">
        <v>2021</v>
      </c>
      <c r="C28" s="24">
        <v>2401</v>
      </c>
      <c r="D28" s="25">
        <v>11442</v>
      </c>
      <c r="E28" s="25">
        <f>D28-C28</f>
        <v>9041</v>
      </c>
      <c r="F28" s="25">
        <f>4376</f>
        <v>4376</v>
      </c>
      <c r="G28" s="25">
        <v>1858</v>
      </c>
      <c r="H28" s="25">
        <v>9584</v>
      </c>
      <c r="I28" s="25">
        <f>G28+H28-C28-E28</f>
        <v>0</v>
      </c>
      <c r="J28" s="25">
        <f>C28-G28</f>
        <v>543</v>
      </c>
      <c r="K28" s="25"/>
    </row>
    <row r="29" ht="20.05" customHeight="1">
      <c r="B29" s="33"/>
      <c r="C29" s="24">
        <v>2685</v>
      </c>
      <c r="D29" s="25">
        <v>11608</v>
      </c>
      <c r="E29" s="25">
        <f>D29-C29</f>
        <v>8923</v>
      </c>
      <c r="F29" s="25">
        <f>F28+'Sales'!F29</f>
        <v>4456</v>
      </c>
      <c r="G29" s="25">
        <v>1816</v>
      </c>
      <c r="H29" s="25">
        <v>9793</v>
      </c>
      <c r="I29" s="25">
        <f>G29+H29-C29-E29</f>
        <v>1</v>
      </c>
      <c r="J29" s="25">
        <f>C29-G29</f>
        <v>869</v>
      </c>
      <c r="K29" s="25"/>
    </row>
    <row r="30" ht="20.05" customHeight="1">
      <c r="B30" s="33"/>
      <c r="C30" s="24">
        <v>2848</v>
      </c>
      <c r="D30" s="25">
        <v>11760</v>
      </c>
      <c r="E30" s="25">
        <f>D30-C30</f>
        <v>8912</v>
      </c>
      <c r="F30" s="25">
        <v>4557</v>
      </c>
      <c r="G30" s="25">
        <v>1851</v>
      </c>
      <c r="H30" s="25">
        <v>9909</v>
      </c>
      <c r="I30" s="25">
        <f>G30+H30-C30-E30</f>
        <v>0</v>
      </c>
      <c r="J30" s="25">
        <f>C30-G30</f>
        <v>997</v>
      </c>
      <c r="K30" s="25">
        <f>J30</f>
        <v>997</v>
      </c>
    </row>
    <row r="31" ht="20.05" customHeight="1">
      <c r="B31" s="33"/>
      <c r="C31" s="24"/>
      <c r="D31" s="25"/>
      <c r="E31" s="25">
        <f>D31-C31</f>
        <v>0</v>
      </c>
      <c r="F31" s="25"/>
      <c r="G31" s="25"/>
      <c r="H31" s="25"/>
      <c r="I31" s="25"/>
      <c r="J31" s="25"/>
      <c r="K31" s="25">
        <f>'Model'!F29</f>
        <v>1556.551309376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5469" style="40" customWidth="1"/>
    <col min="2" max="2" width="9.73438" style="40" customWidth="1"/>
    <col min="3" max="4" width="10.7031" style="40" customWidth="1"/>
    <col min="5" max="16384" width="16.3516" style="40" customWidth="1"/>
  </cols>
  <sheetData>
    <row r="1" ht="29.4" customHeight="1"/>
    <row r="2" ht="27.65" customHeight="1">
      <c r="B2" t="s" s="2">
        <v>56</v>
      </c>
      <c r="C2" s="2"/>
      <c r="D2" s="2"/>
    </row>
    <row r="3" ht="20.25" customHeight="1">
      <c r="B3" s="5"/>
      <c r="C3" t="s" s="3">
        <v>57</v>
      </c>
      <c r="D3" t="s" s="3">
        <v>58</v>
      </c>
    </row>
    <row r="4" ht="20.25" customHeight="1">
      <c r="B4" s="27">
        <v>2018</v>
      </c>
      <c r="C4" s="39">
        <v>1295</v>
      </c>
      <c r="D4" s="8"/>
    </row>
    <row r="5" ht="20.05" customHeight="1">
      <c r="B5" s="33"/>
      <c r="C5" s="17">
        <v>990</v>
      </c>
      <c r="D5" s="22"/>
    </row>
    <row r="6" ht="20.05" customHeight="1">
      <c r="B6" s="33"/>
      <c r="C6" s="24">
        <v>1275</v>
      </c>
      <c r="D6" s="22"/>
    </row>
    <row r="7" ht="20.05" customHeight="1">
      <c r="B7" s="33"/>
      <c r="C7" s="24">
        <v>1250</v>
      </c>
      <c r="D7" s="22"/>
    </row>
    <row r="8" ht="20.05" customHeight="1">
      <c r="B8" s="34">
        <v>2019</v>
      </c>
      <c r="C8" s="24">
        <v>1220</v>
      </c>
      <c r="D8" s="22"/>
    </row>
    <row r="9" ht="20.05" customHeight="1">
      <c r="B9" s="33"/>
      <c r="C9" s="24">
        <v>1120</v>
      </c>
      <c r="D9" s="25"/>
    </row>
    <row r="10" ht="20.05" customHeight="1">
      <c r="B10" s="33"/>
      <c r="C10" s="24">
        <v>1285</v>
      </c>
      <c r="D10" s="25"/>
    </row>
    <row r="11" ht="20.05" customHeight="1">
      <c r="B11" s="33"/>
      <c r="C11" s="24">
        <v>1485</v>
      </c>
      <c r="D11" s="22"/>
    </row>
    <row r="12" ht="20.05" customHeight="1">
      <c r="B12" s="34">
        <v>2020</v>
      </c>
      <c r="C12" s="24">
        <v>840</v>
      </c>
      <c r="D12" s="22"/>
    </row>
    <row r="13" ht="20.05" customHeight="1">
      <c r="B13" s="33"/>
      <c r="C13" s="24">
        <v>830</v>
      </c>
      <c r="D13" s="22"/>
    </row>
    <row r="14" ht="20.05" customHeight="1">
      <c r="B14" s="33"/>
      <c r="C14" s="24">
        <v>905</v>
      </c>
      <c r="D14" s="22"/>
    </row>
    <row r="15" ht="20.05" customHeight="1">
      <c r="B15" s="33"/>
      <c r="C15" s="24">
        <v>1375</v>
      </c>
      <c r="D15" s="22"/>
    </row>
    <row r="16" ht="20.05" customHeight="1">
      <c r="B16" s="34">
        <v>2021</v>
      </c>
      <c r="C16" s="24">
        <v>1280</v>
      </c>
      <c r="D16" s="22"/>
    </row>
    <row r="17" ht="20.05" customHeight="1">
      <c r="B17" s="33"/>
      <c r="C17" s="24">
        <v>1025</v>
      </c>
      <c r="D17" s="25"/>
    </row>
    <row r="18" ht="20.05" customHeight="1">
      <c r="B18" s="33"/>
      <c r="C18" s="24">
        <v>1220</v>
      </c>
      <c r="D18" s="22"/>
    </row>
    <row r="19" ht="20.05" customHeight="1">
      <c r="B19" s="33"/>
      <c r="C19" s="24">
        <v>1175</v>
      </c>
      <c r="D19" s="25">
        <f>C19</f>
        <v>1175</v>
      </c>
    </row>
    <row r="20" ht="20.05" customHeight="1">
      <c r="B20" s="33"/>
      <c r="C20" s="24"/>
      <c r="D20" s="25">
        <f>'Model'!F41</f>
        <v>2612.7562456403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