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<sst xmlns="http://schemas.openxmlformats.org/spreadsheetml/2006/main" uniqueCount="56">
  <si>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</si>
  <si>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</si>
  <si>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</si>
  <si>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</si>
  <si>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</si>
  <si>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</si>
  <si>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</si>
  <si>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</si>
  <si>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</si>
  <si>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</si>
  <si>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</si>
  <si>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</si>
  <si>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</si>
  <si>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</si>
  <si>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</si>
  <si>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</si>
  <si>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</si>
  <si>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>End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</si>
  <si>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</si>
  <si>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</si>
  <si>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</si>
  <si>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</si>
  <si>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</si>
  <si>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</si>
  <si>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</si>
  <si>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</si>
  <si>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</si>
  <si>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</si>
  <si>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</si>
  <si>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</si>
  <si>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</si>
  <si>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</si>
  <si>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</si>
  <si>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</si>
  <si>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</si>
  <si>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</si>
  <si>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</si>
  <si>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</si>
  <si>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</si>
  <si>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</si>
  <si>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</si>
  <si>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</si>
  <si>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</si>
  <si>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</si>
  <si>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</si>
  <si>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 xml:space="preserve">Cashflow costs </t>
  </si>
  <si>
    <t>Receipts</t>
  </si>
  <si>
    <t>Capex</t>
  </si>
  <si>
    <t>Interest</t>
  </si>
  <si>
    <t xml:space="preserve">Free cashflow </t>
  </si>
  <si>
    <t>Cash</t>
  </si>
  <si>
    <t>Assets</t>
  </si>
  <si>
    <t>Check</t>
  </si>
  <si>
    <t>Share price</t>
  </si>
  <si>
    <t>KRAS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</si>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</sst>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.0_);[Red]\(0.0\)"/>
    <numFmt numFmtId="61" formatCode="0%_);[Red]\(0%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573613</xdr:colOff>
      <xdr:row>1</xdr:row>
      <xdr:rowOff>222563</xdr:rowOff>
    </xdr:from>
    <xdr:to>
      <xdr:col>13</xdr:col>
      <xdr:colOff>196508</xdr:colOff>
      <xdr:row>47</xdr:row>
      <xdr:rowOff>131098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23313" y="374963"/>
          <a:ext cx="8335096" cy="11723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953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AVERAGE('Sales'!G18:G21)</f>
        <v>0.0983251939055281</v>
      </c>
      <c r="D4" s="8"/>
      <c r="E4" s="8"/>
      <c r="F4" s="9">
        <f>AVERAGE(C5:F5)</f>
        <v>0.0375</v>
      </c>
    </row>
    <row r="5" ht="20.05" customHeight="1">
      <c r="B5" t="s" s="10">
        <v>4</v>
      </c>
      <c r="C5" s="11">
        <v>0.05</v>
      </c>
      <c r="D5" s="12">
        <v>0.02</v>
      </c>
      <c r="E5" s="12">
        <v>0.05</v>
      </c>
      <c r="F5" s="12">
        <v>0.03</v>
      </c>
    </row>
    <row r="6" ht="20.05" customHeight="1">
      <c r="B6" t="s" s="10">
        <v>5</v>
      </c>
      <c r="C6" s="13">
        <f>'Sales'!C21*(1+C5)</f>
        <v>582.855</v>
      </c>
      <c r="D6" s="14">
        <f>C6*(1+D5)</f>
        <v>594.5121</v>
      </c>
      <c r="E6" s="14">
        <f>D6*(1+E5)</f>
        <v>624.237705</v>
      </c>
      <c r="F6" s="14">
        <f>E6*(1+F5)</f>
        <v>642.96483615</v>
      </c>
    </row>
    <row r="7" ht="20.05" customHeight="1">
      <c r="B7" t="s" s="10">
        <v>6</v>
      </c>
      <c r="C7" s="11">
        <f>'Sales'!H21</f>
        <v>-0.972077103224644</v>
      </c>
      <c r="D7" s="12">
        <f>C7</f>
        <v>-0.972077103224644</v>
      </c>
      <c r="E7" s="12">
        <f>D7</f>
        <v>-0.972077103224644</v>
      </c>
      <c r="F7" s="12">
        <f>E7</f>
        <v>-0.972077103224644</v>
      </c>
    </row>
    <row r="8" ht="20.05" customHeight="1">
      <c r="B8" t="s" s="10">
        <v>7</v>
      </c>
      <c r="C8" s="15">
        <f>C6*C7</f>
        <v>-566.58</v>
      </c>
      <c r="D8" s="16">
        <f>D6*D7</f>
        <v>-577.9116</v>
      </c>
      <c r="E8" s="16">
        <f>E6*E7</f>
        <v>-606.80718</v>
      </c>
      <c r="F8" s="16">
        <f>F6*F7</f>
        <v>-625.0113954</v>
      </c>
    </row>
    <row r="9" ht="20.05" customHeight="1">
      <c r="B9" t="s" s="10">
        <v>8</v>
      </c>
      <c r="C9" s="15">
        <f>C6+C8</f>
        <v>16.275</v>
      </c>
      <c r="D9" s="16">
        <f>D6+D8</f>
        <v>16.6005</v>
      </c>
      <c r="E9" s="16">
        <f>E6+E8</f>
        <v>17.430525</v>
      </c>
      <c r="F9" s="16">
        <f>F6+F8</f>
        <v>17.95344075</v>
      </c>
    </row>
    <row r="10" ht="20.05" customHeight="1">
      <c r="B10" t="s" s="10">
        <v>9</v>
      </c>
      <c r="C10" s="15">
        <f>AVERAGE('Cashflow '!F22)</f>
        <v>-33.7</v>
      </c>
      <c r="D10" s="16">
        <f>C10</f>
        <v>-33.7</v>
      </c>
      <c r="E10" s="16">
        <f>D10</f>
        <v>-33.7</v>
      </c>
      <c r="F10" s="16">
        <f>E10</f>
        <v>-33.7</v>
      </c>
    </row>
    <row r="11" ht="20.05" customHeight="1">
      <c r="B11" t="s" s="10">
        <v>10</v>
      </c>
      <c r="C11" s="15">
        <f>C12+C13+C15</f>
        <v>17.425</v>
      </c>
      <c r="D11" s="16">
        <f>D12+D13+D15</f>
        <v>17.0995</v>
      </c>
      <c r="E11" s="16">
        <f>E12+E13+E15</f>
        <v>16.269475</v>
      </c>
      <c r="F11" s="16">
        <f>F12+F13+F15</f>
        <v>15.74655925</v>
      </c>
    </row>
    <row r="12" ht="20.05" customHeight="1">
      <c r="B12" t="s" s="10">
        <v>11</v>
      </c>
      <c r="C12" s="15">
        <f>-'Balance sheet'!G18/20</f>
        <v>-166.1</v>
      </c>
      <c r="D12" s="16">
        <f>-C26/20</f>
        <v>-157.795</v>
      </c>
      <c r="E12" s="16">
        <f>-D26/20</f>
        <v>-149.90525</v>
      </c>
      <c r="F12" s="16">
        <f>-E26/20</f>
        <v>-142.4099875</v>
      </c>
    </row>
    <row r="13" ht="20.05" customHeight="1">
      <c r="B13" t="s" s="10">
        <v>12</v>
      </c>
      <c r="C13" s="15">
        <f>IF(C21&gt;0,-C21*0,0)</f>
        <v>0</v>
      </c>
      <c r="D13" s="16">
        <f>IF(D21&gt;0,-D21*0,0)</f>
        <v>0</v>
      </c>
      <c r="E13" s="16">
        <f>IF(E21&gt;0,-E21*0,0)</f>
        <v>0</v>
      </c>
      <c r="F13" s="16">
        <f>IF(F21&gt;0,-F21*0,0)</f>
        <v>0</v>
      </c>
    </row>
    <row r="14" ht="20.05" customHeight="1">
      <c r="B14" t="s" s="10">
        <v>13</v>
      </c>
      <c r="C14" s="15">
        <f>C9+C10+C12+C13</f>
        <v>-183.525</v>
      </c>
      <c r="D14" s="16">
        <f>D9+D10+D12+D13</f>
        <v>-174.8945</v>
      </c>
      <c r="E14" s="16">
        <f>E9+E10+E12+E13</f>
        <v>-166.174725</v>
      </c>
      <c r="F14" s="16">
        <f>F9+F10+F12+F13</f>
        <v>-158.15654675</v>
      </c>
    </row>
    <row r="15" ht="20.05" customHeight="1">
      <c r="B15" t="s" s="10">
        <v>14</v>
      </c>
      <c r="C15" s="15">
        <f>-MIN(0,C14)</f>
        <v>183.525</v>
      </c>
      <c r="D15" s="16">
        <f>-MIN(C27,D14)</f>
        <v>174.8945</v>
      </c>
      <c r="E15" s="16">
        <f>-MIN(D27,E14)</f>
        <v>166.174725</v>
      </c>
      <c r="F15" s="16">
        <f>-MIN(E27,F14)</f>
        <v>158.15654675</v>
      </c>
    </row>
    <row r="16" ht="20.05" customHeight="1">
      <c r="B16" t="s" s="10">
        <v>15</v>
      </c>
      <c r="C16" s="15">
        <f>'Balance sheet'!C18</f>
        <v>95</v>
      </c>
      <c r="D16" s="16">
        <f>C18</f>
        <v>95</v>
      </c>
      <c r="E16" s="16">
        <f>D18</f>
        <v>95</v>
      </c>
      <c r="F16" s="16">
        <f>E18</f>
        <v>95</v>
      </c>
    </row>
    <row r="17" ht="20.05" customHeight="1">
      <c r="B17" t="s" s="10">
        <v>16</v>
      </c>
      <c r="C17" s="15">
        <f>C9+C10+C11</f>
        <v>0</v>
      </c>
      <c r="D17" s="16">
        <f>D9+D10+D11</f>
        <v>0</v>
      </c>
      <c r="E17" s="16">
        <f>E9+E10+E11</f>
        <v>0</v>
      </c>
      <c r="F17" s="16">
        <f>F9+F10+F11</f>
        <v>0</v>
      </c>
    </row>
    <row r="18" ht="20.05" customHeight="1">
      <c r="B18" t="s" s="10">
        <v>17</v>
      </c>
      <c r="C18" s="15">
        <f>C16+C17</f>
        <v>95</v>
      </c>
      <c r="D18" s="16">
        <f>D16+D17</f>
        <v>95</v>
      </c>
      <c r="E18" s="16">
        <f>E16+E17</f>
        <v>95</v>
      </c>
      <c r="F18" s="16">
        <f>F16+F17</f>
        <v>95</v>
      </c>
    </row>
    <row r="19" ht="20.05" customHeight="1">
      <c r="B19" t="s" s="17">
        <v>18</v>
      </c>
      <c r="C19" s="15"/>
      <c r="D19" s="16"/>
      <c r="E19" s="16"/>
      <c r="F19" s="18"/>
    </row>
    <row r="20" ht="20.05" customHeight="1">
      <c r="B20" t="s" s="10">
        <v>19</v>
      </c>
      <c r="C20" s="15">
        <f>-'Sales'!E21</f>
        <v>11</v>
      </c>
      <c r="D20" s="16">
        <f>C20</f>
        <v>11</v>
      </c>
      <c r="E20" s="16">
        <f>D20</f>
        <v>11</v>
      </c>
      <c r="F20" s="16">
        <f>E20</f>
        <v>11</v>
      </c>
    </row>
    <row r="21" ht="20.05" customHeight="1">
      <c r="B21" t="s" s="10">
        <v>18</v>
      </c>
      <c r="C21" s="15">
        <f>C6+C8+C20</f>
        <v>27.275</v>
      </c>
      <c r="D21" s="16">
        <f>D6+D8+D20</f>
        <v>27.6005</v>
      </c>
      <c r="E21" s="16">
        <f>E6+E8+E20</f>
        <v>28.430525</v>
      </c>
      <c r="F21" s="16">
        <f>F6+F8+F20</f>
        <v>28.95344075</v>
      </c>
    </row>
    <row r="22" ht="20.05" customHeight="1">
      <c r="B22" t="s" s="17">
        <v>20</v>
      </c>
      <c r="C22" s="15"/>
      <c r="D22" s="16"/>
      <c r="E22" s="16"/>
      <c r="F22" s="16"/>
    </row>
    <row r="23" ht="20.05" customHeight="1">
      <c r="B23" t="s" s="10">
        <v>21</v>
      </c>
      <c r="C23" s="15">
        <f>'Balance sheet'!E18+'Balance sheet'!F18-C10</f>
        <v>4772.7</v>
      </c>
      <c r="D23" s="16">
        <f>C23-D10</f>
        <v>4806.4</v>
      </c>
      <c r="E23" s="16">
        <f>D23-E10</f>
        <v>4840.1</v>
      </c>
      <c r="F23" s="16">
        <f>E23-F10</f>
        <v>4873.8</v>
      </c>
    </row>
    <row r="24" ht="20.05" customHeight="1">
      <c r="B24" t="s" s="10">
        <v>22</v>
      </c>
      <c r="C24" s="15">
        <f>'Balance sheet'!F18-C20</f>
        <v>1080</v>
      </c>
      <c r="D24" s="16">
        <f>C24-D20</f>
        <v>1069</v>
      </c>
      <c r="E24" s="16">
        <f>D24-E20</f>
        <v>1058</v>
      </c>
      <c r="F24" s="16">
        <f>E24-F20</f>
        <v>1047</v>
      </c>
    </row>
    <row r="25" ht="20.05" customHeight="1">
      <c r="B25" t="s" s="10">
        <v>23</v>
      </c>
      <c r="C25" s="15">
        <f>C23-C24</f>
        <v>3692.7</v>
      </c>
      <c r="D25" s="16">
        <f>D23-D24</f>
        <v>3737.4</v>
      </c>
      <c r="E25" s="16">
        <f>E23-E24</f>
        <v>3782.1</v>
      </c>
      <c r="F25" s="16">
        <f>F23-F24</f>
        <v>3826.8</v>
      </c>
    </row>
    <row r="26" ht="20.05" customHeight="1">
      <c r="B26" t="s" s="10">
        <v>11</v>
      </c>
      <c r="C26" s="15">
        <f>'Balance sheet'!G18+C12</f>
        <v>3155.9</v>
      </c>
      <c r="D26" s="16">
        <f>C26+D12</f>
        <v>2998.105</v>
      </c>
      <c r="E26" s="16">
        <f>D26+E12</f>
        <v>2848.19975</v>
      </c>
      <c r="F26" s="16">
        <f>E26+F12</f>
        <v>2705.7897625</v>
      </c>
    </row>
    <row r="27" ht="20.05" customHeight="1">
      <c r="B27" t="s" s="10">
        <v>14</v>
      </c>
      <c r="C27" s="15">
        <f>C15</f>
        <v>183.525</v>
      </c>
      <c r="D27" s="16">
        <f>C27+D15</f>
        <v>358.4195</v>
      </c>
      <c r="E27" s="16">
        <f>D27+E15</f>
        <v>524.5942250000001</v>
      </c>
      <c r="F27" s="16">
        <f>E27+F15</f>
        <v>682.75077175</v>
      </c>
    </row>
    <row r="28" ht="20.05" customHeight="1">
      <c r="B28" t="s" s="10">
        <v>12</v>
      </c>
      <c r="C28" s="15">
        <f>'Balance sheet'!H18+C21+C13</f>
        <v>448.275</v>
      </c>
      <c r="D28" s="16">
        <f>C28+D21+D13</f>
        <v>475.8755</v>
      </c>
      <c r="E28" s="16">
        <f>D28+E21+E13</f>
        <v>504.306025</v>
      </c>
      <c r="F28" s="16">
        <f>E28+F21+F13</f>
        <v>533.25946575</v>
      </c>
    </row>
    <row r="29" ht="20.05" customHeight="1">
      <c r="B29" t="s" s="10">
        <v>24</v>
      </c>
      <c r="C29" s="15">
        <f>C26+C27+C28-C18-C25</f>
        <v>0</v>
      </c>
      <c r="D29" s="16">
        <f>D26+D27+D28-D18-D25</f>
        <v>0</v>
      </c>
      <c r="E29" s="16">
        <f>E26+E27+E28-E18-E25</f>
        <v>0</v>
      </c>
      <c r="F29" s="16">
        <f>F26+F27+F28-F18-F25</f>
        <v>0</v>
      </c>
    </row>
    <row r="30" ht="20.05" customHeight="1">
      <c r="B30" t="s" s="10">
        <v>25</v>
      </c>
      <c r="C30" s="15">
        <f>C18-C26-C27</f>
        <v>-3244.425</v>
      </c>
      <c r="D30" s="16">
        <f>D18-D26-D27</f>
        <v>-3261.5245</v>
      </c>
      <c r="E30" s="16">
        <f>E18-E26-E27</f>
        <v>-3277.793975</v>
      </c>
      <c r="F30" s="16">
        <f>F18-F26-F27</f>
        <v>-3293.54053425</v>
      </c>
    </row>
    <row r="31" ht="20.05" customHeight="1">
      <c r="B31" t="s" s="17">
        <v>26</v>
      </c>
      <c r="C31" s="15"/>
      <c r="D31" s="16"/>
      <c r="E31" s="16"/>
      <c r="F31" s="16"/>
    </row>
    <row r="32" ht="20.05" customHeight="1">
      <c r="B32" t="s" s="10">
        <v>27</v>
      </c>
      <c r="C32" s="15"/>
      <c r="D32" s="16"/>
      <c r="E32" s="16"/>
      <c r="F32" s="16">
        <v>14</v>
      </c>
    </row>
    <row r="33" ht="20.05" customHeight="1">
      <c r="B33" t="s" s="10">
        <v>28</v>
      </c>
      <c r="C33" s="15">
        <f>'Cashflow '!M22-C11</f>
        <v>-804.425</v>
      </c>
      <c r="D33" s="16">
        <f>C33-D11</f>
        <v>-821.5245</v>
      </c>
      <c r="E33" s="16">
        <f>D33-E11</f>
        <v>-837.793975</v>
      </c>
      <c r="F33" s="16">
        <f>E33-F11</f>
        <v>-853.54053425</v>
      </c>
    </row>
    <row r="34" ht="20.05" customHeight="1">
      <c r="B34" t="s" s="10">
        <v>29</v>
      </c>
      <c r="C34" s="15"/>
      <c r="D34" s="16"/>
      <c r="E34" s="16"/>
      <c r="F34" s="16">
        <f>10160/F32</f>
        <v>725.714285714286</v>
      </c>
    </row>
    <row r="35" ht="20.05" customHeight="1">
      <c r="B35" t="s" s="10">
        <v>30</v>
      </c>
      <c r="C35" s="15"/>
      <c r="D35" s="16"/>
      <c r="E35" s="16"/>
      <c r="F35" s="19">
        <f>F34/(F18+F25)</f>
        <v>0.18504622512986</v>
      </c>
    </row>
    <row r="36" ht="20.05" customHeight="1">
      <c r="B36" t="s" s="10">
        <v>31</v>
      </c>
      <c r="C36" s="15"/>
      <c r="D36" s="16"/>
      <c r="E36" s="16"/>
      <c r="F36" s="20">
        <f>-(C13+D13+E13+F13)/F34</f>
        <v>0</v>
      </c>
    </row>
    <row r="37" ht="20.05" customHeight="1">
      <c r="B37" t="s" s="10">
        <v>32</v>
      </c>
      <c r="C37" s="15"/>
      <c r="D37" s="16"/>
      <c r="E37" s="16"/>
      <c r="F37" s="16">
        <f>SUM(C9:F9)</f>
        <v>68.25946575</v>
      </c>
    </row>
    <row r="38" ht="20.05" customHeight="1">
      <c r="B38" t="s" s="10">
        <v>33</v>
      </c>
      <c r="C38" s="15"/>
      <c r="D38" s="16"/>
      <c r="E38" s="16"/>
      <c r="F38" s="16">
        <f>'Balance sheet'!E18/F37</f>
        <v>53.4431372985072</v>
      </c>
    </row>
    <row r="39" ht="20.05" customHeight="1">
      <c r="B39" t="s" s="10">
        <v>26</v>
      </c>
      <c r="C39" s="15"/>
      <c r="D39" s="16"/>
      <c r="E39" s="16"/>
      <c r="F39" s="16">
        <f>F34/F37</f>
        <v>10.631701812203</v>
      </c>
    </row>
    <row r="40" ht="20.05" customHeight="1">
      <c r="B40" t="s" s="10">
        <v>34</v>
      </c>
      <c r="C40" s="15"/>
      <c r="D40" s="16"/>
      <c r="E40" s="16"/>
      <c r="F40" s="16">
        <v>9</v>
      </c>
    </row>
    <row r="41" ht="20.05" customHeight="1">
      <c r="B41" t="s" s="10">
        <v>35</v>
      </c>
      <c r="C41" s="15"/>
      <c r="D41" s="16"/>
      <c r="E41" s="16"/>
      <c r="F41" s="16">
        <f>F40*F37</f>
        <v>614.33519175</v>
      </c>
    </row>
    <row r="42" ht="20.05" customHeight="1">
      <c r="B42" t="s" s="10">
        <v>36</v>
      </c>
      <c r="C42" s="15"/>
      <c r="D42" s="16"/>
      <c r="E42" s="16"/>
      <c r="F42" s="16">
        <v>21.5336134453782</v>
      </c>
    </row>
    <row r="43" ht="20.05" customHeight="1">
      <c r="B43" t="s" s="10">
        <v>37</v>
      </c>
      <c r="C43" s="15"/>
      <c r="D43" s="16"/>
      <c r="E43" s="16"/>
      <c r="F43" s="16">
        <f>(F41/F42)*F32</f>
        <v>399.407777348487</v>
      </c>
    </row>
    <row r="44" ht="20.05" customHeight="1">
      <c r="B44" t="s" s="10">
        <v>38</v>
      </c>
      <c r="C44" s="15"/>
      <c r="D44" s="16"/>
      <c r="E44" s="16"/>
      <c r="F44" s="16">
        <f>'Share price '!C50</f>
        <v>525</v>
      </c>
    </row>
    <row r="45" ht="20.05" customHeight="1">
      <c r="B45" t="s" s="10">
        <v>39</v>
      </c>
      <c r="C45" s="15"/>
      <c r="D45" s="16"/>
      <c r="E45" s="16"/>
      <c r="F45" s="20">
        <f>F43/F44-1</f>
        <v>-0.239223281240977</v>
      </c>
    </row>
    <row r="46" ht="20.05" customHeight="1">
      <c r="B46" t="s" s="10">
        <v>40</v>
      </c>
      <c r="C46" s="15"/>
      <c r="D46" s="16"/>
      <c r="E46" s="16"/>
      <c r="F46" s="20">
        <f>'Sales'!C21/'Sales'!C17-1</f>
        <v>0.438082901554404</v>
      </c>
    </row>
    <row r="47" ht="20.05" customHeight="1">
      <c r="B47" t="s" s="10">
        <v>41</v>
      </c>
      <c r="C47" s="15"/>
      <c r="D47" s="16"/>
      <c r="E47" s="16"/>
      <c r="F47" s="20">
        <f>('Sales'!D21/'Sales'!C21)-1</f>
        <v>0.131507836425869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5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1" customWidth="1"/>
    <col min="2" max="10" width="10.9688" style="21" customWidth="1"/>
    <col min="11" max="16384" width="16.3516" style="21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4">
        <v>1</v>
      </c>
      <c r="C2" t="s" s="4">
        <v>5</v>
      </c>
      <c r="D2" t="s" s="4">
        <v>34</v>
      </c>
      <c r="E2" t="s" s="4">
        <v>42</v>
      </c>
      <c r="F2" t="s" s="4">
        <v>43</v>
      </c>
      <c r="G2" t="s" s="4">
        <v>44</v>
      </c>
      <c r="H2" t="s" s="4">
        <v>6</v>
      </c>
      <c r="I2" t="s" s="4">
        <v>45</v>
      </c>
      <c r="J2" t="s" s="4">
        <v>45</v>
      </c>
    </row>
    <row r="3" ht="20.25" customHeight="1">
      <c r="B3" s="22">
        <v>2017</v>
      </c>
      <c r="C3" s="23">
        <v>350</v>
      </c>
      <c r="D3" s="8"/>
      <c r="E3" s="24">
        <v>24.75</v>
      </c>
      <c r="F3" s="24">
        <v>-22</v>
      </c>
      <c r="G3" s="8"/>
      <c r="H3" s="9">
        <f>(E3+F3-C3)/C3</f>
        <v>-0.992142857142857</v>
      </c>
      <c r="I3" s="9"/>
      <c r="J3" s="9">
        <f>('Cashflow '!E4+'Cashflow '!G4-'Cashflow '!C4)/'Cashflow '!C4</f>
        <v>-1.10204081632653</v>
      </c>
    </row>
    <row r="4" ht="20.05" customHeight="1">
      <c r="B4" s="25"/>
      <c r="C4" s="26">
        <v>284</v>
      </c>
      <c r="D4" s="18"/>
      <c r="E4" s="14">
        <v>24.75</v>
      </c>
      <c r="F4" s="14">
        <v>-38</v>
      </c>
      <c r="G4" s="12">
        <f>C4/C3-1</f>
        <v>-0.188571428571429</v>
      </c>
      <c r="H4" s="12">
        <f>(E4+F4-C4)/C4</f>
        <v>-1.04665492957746</v>
      </c>
      <c r="I4" s="12"/>
      <c r="J4" s="12">
        <f>('Cashflow '!E5+'Cashflow '!G5-'Cashflow '!C5)/'Cashflow '!C5</f>
        <v>-1.08917197452229</v>
      </c>
    </row>
    <row r="5" ht="20.05" customHeight="1">
      <c r="B5" s="25"/>
      <c r="C5" s="26">
        <v>406</v>
      </c>
      <c r="D5" s="18"/>
      <c r="E5" s="14">
        <v>24.75</v>
      </c>
      <c r="F5" s="14">
        <v>-19</v>
      </c>
      <c r="G5" s="12">
        <f>C5/C4-1</f>
        <v>0.429577464788732</v>
      </c>
      <c r="H5" s="12">
        <f>(E5+F5-C5)/C5</f>
        <v>-0.985837438423645</v>
      </c>
      <c r="I5" s="12"/>
      <c r="J5" s="12">
        <f>('Cashflow '!E6+'Cashflow '!G6-'Cashflow '!C6)/'Cashflow '!C6</f>
        <v>-0.722095671981777</v>
      </c>
    </row>
    <row r="6" ht="20.05" customHeight="1">
      <c r="B6" s="25"/>
      <c r="C6" s="26">
        <v>409</v>
      </c>
      <c r="D6" s="18"/>
      <c r="E6" s="14">
        <v>24.75</v>
      </c>
      <c r="F6" s="14">
        <v>-7</v>
      </c>
      <c r="G6" s="12">
        <f>C6/C5-1</f>
        <v>0.00738916256157635</v>
      </c>
      <c r="H6" s="12">
        <f>(E6+F6-C6)/C6</f>
        <v>-0.956601466992665</v>
      </c>
      <c r="I6" s="12"/>
      <c r="J6" s="12">
        <f>('Cashflow '!E7+'Cashflow '!G7-'Cashflow '!C7)/'Cashflow '!C7</f>
        <v>-0.854260089686099</v>
      </c>
    </row>
    <row r="7" ht="20.05" customHeight="1">
      <c r="B7" s="27">
        <v>2018</v>
      </c>
      <c r="C7" s="26">
        <v>486</v>
      </c>
      <c r="D7" s="18"/>
      <c r="E7" s="14">
        <v>11.5</v>
      </c>
      <c r="F7" s="14">
        <v>-5</v>
      </c>
      <c r="G7" s="12">
        <f>C7/C6-1</f>
        <v>0.188264058679707</v>
      </c>
      <c r="H7" s="12">
        <f>(E7+F7-C7)/C7</f>
        <v>-0.986625514403292</v>
      </c>
      <c r="I7" s="12">
        <f>AVERAGE(J4:J7)</f>
        <v>-0.950673969445772</v>
      </c>
      <c r="J7" s="12">
        <f>('Cashflow '!E8+'Cashflow '!G8-'Cashflow '!C8)/'Cashflow '!C8</f>
        <v>-1.13716814159292</v>
      </c>
    </row>
    <row r="8" ht="20.05" customHeight="1">
      <c r="B8" s="25"/>
      <c r="C8" s="26">
        <v>368</v>
      </c>
      <c r="D8" s="18"/>
      <c r="E8" s="14">
        <v>11.5</v>
      </c>
      <c r="F8" s="14">
        <v>-11</v>
      </c>
      <c r="G8" s="12">
        <f>C8/C7-1</f>
        <v>-0.242798353909465</v>
      </c>
      <c r="H8" s="12">
        <f>(E8+F8-C8)/C8</f>
        <v>-0.9986413043478261</v>
      </c>
      <c r="I8" s="12">
        <f>AVERAGE(J5:J8)</f>
        <v>-1.03154553277722</v>
      </c>
      <c r="J8" s="12">
        <f>('Cashflow '!E9+'Cashflow '!G9-'Cashflow '!C9)/'Cashflow '!C9</f>
        <v>-1.4126582278481</v>
      </c>
    </row>
    <row r="9" ht="20.05" customHeight="1">
      <c r="B9" s="25"/>
      <c r="C9" s="26">
        <v>422</v>
      </c>
      <c r="D9" s="18"/>
      <c r="E9" s="14">
        <v>11.5</v>
      </c>
      <c r="F9" s="14">
        <v>-21</v>
      </c>
      <c r="G9" s="12">
        <f>C9/C8-1</f>
        <v>0.146739130434783</v>
      </c>
      <c r="H9" s="12">
        <f>(E9+F9-C9)/C9</f>
        <v>-1.02251184834123</v>
      </c>
      <c r="I9" s="12">
        <f>AVERAGE(J6:J9)</f>
        <v>-1.09293847390418</v>
      </c>
      <c r="J9" s="12">
        <f>('Cashflow '!E10+'Cashflow '!G10-'Cashflow '!C10)/'Cashflow '!C10</f>
        <v>-0.967667436489607</v>
      </c>
    </row>
    <row r="10" ht="20.05" customHeight="1">
      <c r="B10" s="25"/>
      <c r="C10" s="26">
        <v>464</v>
      </c>
      <c r="D10" s="18"/>
      <c r="E10" s="14">
        <v>11.5</v>
      </c>
      <c r="F10" s="14">
        <v>-40</v>
      </c>
      <c r="G10" s="12">
        <f>C10/C9-1</f>
        <v>0.0995260663507109</v>
      </c>
      <c r="H10" s="12">
        <f>(E10+F10-C10)/C10</f>
        <v>-1.0614224137931</v>
      </c>
      <c r="I10" s="12">
        <f>AVERAGE(J7:J10)</f>
        <v>-1.11094799084614</v>
      </c>
      <c r="J10" s="12">
        <f>('Cashflow '!E11+'Cashflow '!G11-'Cashflow '!C11)/'Cashflow '!C11</f>
        <v>-0.926298157453936</v>
      </c>
    </row>
    <row r="11" ht="20.05" customHeight="1">
      <c r="B11" s="27">
        <v>2019</v>
      </c>
      <c r="C11" s="26">
        <v>419</v>
      </c>
      <c r="D11" s="18"/>
      <c r="E11" s="14">
        <v>102.25</v>
      </c>
      <c r="F11" s="16">
        <v>-64</v>
      </c>
      <c r="G11" s="12">
        <f>C11/C10-1</f>
        <v>-0.0969827586206897</v>
      </c>
      <c r="H11" s="12">
        <f>(E11+F11-C11)/C11</f>
        <v>-0.908711217183771</v>
      </c>
      <c r="I11" s="12">
        <f>AVERAGE(J8:J11)</f>
        <v>-1.0899271175713</v>
      </c>
      <c r="J11" s="12">
        <f>('Cashflow '!E12+'Cashflow '!G12-'Cashflow '!C12)/'Cashflow '!C12</f>
        <v>-1.05308464849354</v>
      </c>
    </row>
    <row r="12" ht="20.05" customHeight="1">
      <c r="B12" s="25"/>
      <c r="C12" s="26">
        <v>283</v>
      </c>
      <c r="D12" s="18"/>
      <c r="E12" s="14">
        <v>102.25</v>
      </c>
      <c r="F12" s="16">
        <v>-74</v>
      </c>
      <c r="G12" s="12">
        <f>C12/C11-1</f>
        <v>-0.324582338902148</v>
      </c>
      <c r="H12" s="12">
        <f>(E12+F12-C12)/C12</f>
        <v>-0.90017667844523</v>
      </c>
      <c r="I12" s="12">
        <f>AVERAGE(J9:J12)</f>
        <v>-0.842290198800226</v>
      </c>
      <c r="J12" s="12">
        <f>('Cashflow '!E13+'Cashflow '!G13-'Cashflow '!C13)/'Cashflow '!C13</f>
        <v>-0.422110552763819</v>
      </c>
    </row>
    <row r="13" ht="20.05" customHeight="1">
      <c r="B13" s="25"/>
      <c r="C13" s="26">
        <v>351</v>
      </c>
      <c r="D13" s="18"/>
      <c r="E13" s="14">
        <v>102.25</v>
      </c>
      <c r="F13" s="16">
        <v>-77</v>
      </c>
      <c r="G13" s="12">
        <f>C13/C12-1</f>
        <v>0.240282685512367</v>
      </c>
      <c r="H13" s="12">
        <f>(E13+F13-C13)/C13</f>
        <v>-0.9280626780626779</v>
      </c>
      <c r="I13" s="12">
        <f>AVERAGE(J10:J13)</f>
        <v>-0.866645529026936</v>
      </c>
      <c r="J13" s="12">
        <f>('Cashflow '!E14+'Cashflow '!G14-'Cashflow '!C14)/'Cashflow '!C14</f>
        <v>-1.06508875739645</v>
      </c>
    </row>
    <row r="14" ht="20.05" customHeight="1">
      <c r="B14" s="25"/>
      <c r="C14" s="26">
        <v>368</v>
      </c>
      <c r="D14" s="18"/>
      <c r="E14" s="14">
        <v>102.25</v>
      </c>
      <c r="F14" s="16">
        <v>-290</v>
      </c>
      <c r="G14" s="12">
        <f>C14/C13-1</f>
        <v>0.0484330484330484</v>
      </c>
      <c r="H14" s="12">
        <f>(E14+F14-C14)/C14</f>
        <v>-1.5101902173913</v>
      </c>
      <c r="I14" s="12">
        <f>AVERAGE(J11:J14)</f>
        <v>-0.886278719132052</v>
      </c>
      <c r="J14" s="12">
        <f>('Cashflow '!E15+'Cashflow '!G15-'Cashflow '!C15)/'Cashflow '!C15</f>
        <v>-1.0048309178744</v>
      </c>
    </row>
    <row r="15" ht="20.05" customHeight="1">
      <c r="B15" s="27">
        <v>2020</v>
      </c>
      <c r="C15" s="26">
        <v>311</v>
      </c>
      <c r="D15" s="18"/>
      <c r="E15" s="14">
        <v>-22.5</v>
      </c>
      <c r="F15" s="16">
        <v>80</v>
      </c>
      <c r="G15" s="12">
        <f>C15/C14-1</f>
        <v>-0.154891304347826</v>
      </c>
      <c r="H15" s="12">
        <f>(E15+F15-C15)/C15</f>
        <v>-0.815112540192926</v>
      </c>
      <c r="I15" s="12">
        <f>AVERAGE(J12:J15)</f>
        <v>-0.889869727096645</v>
      </c>
      <c r="J15" s="12">
        <f>('Cashflow '!E16+'Cashflow '!G16-'Cashflow '!C16)/'Cashflow '!C16</f>
        <v>-1.06744868035191</v>
      </c>
    </row>
    <row r="16" ht="20.05" customHeight="1">
      <c r="B16" s="25"/>
      <c r="C16" s="26">
        <v>242</v>
      </c>
      <c r="D16" s="18"/>
      <c r="E16" s="14">
        <v>-22.5</v>
      </c>
      <c r="F16" s="16">
        <v>-75.3</v>
      </c>
      <c r="G16" s="12">
        <f>C16/C15-1</f>
        <v>-0.221864951768489</v>
      </c>
      <c r="H16" s="12">
        <f>(E16+F16-C16)/C16</f>
        <v>-1.40413223140496</v>
      </c>
      <c r="I16" s="12">
        <f>AVERAGE(J13:J16)</f>
        <v>-0.873627803191404</v>
      </c>
      <c r="J16" s="12">
        <f>('Cashflow '!E17+'Cashflow '!G17-'Cashflow '!C17)/'Cashflow '!C17</f>
        <v>-0.357142857142857</v>
      </c>
    </row>
    <row r="17" ht="20.05" customHeight="1">
      <c r="B17" s="25"/>
      <c r="C17" s="26">
        <v>386</v>
      </c>
      <c r="D17" s="18"/>
      <c r="E17" s="14">
        <v>-22.5</v>
      </c>
      <c r="F17" s="16">
        <v>-30.7</v>
      </c>
      <c r="G17" s="12">
        <f>C17/C16-1</f>
        <v>0.59504132231405</v>
      </c>
      <c r="H17" s="12">
        <f>(E17+F17-C17)/C17</f>
        <v>-1.13782383419689</v>
      </c>
      <c r="I17" s="12">
        <f>AVERAGE(J14:J17)</f>
        <v>-0.847054504492054</v>
      </c>
      <c r="J17" s="12">
        <f>('Cashflow '!E18+'Cashflow '!G18-'Cashflow '!C18)/'Cashflow '!C18</f>
        <v>-0.958795562599049</v>
      </c>
    </row>
    <row r="18" ht="20.05" customHeight="1">
      <c r="B18" s="25"/>
      <c r="C18" s="26">
        <v>415</v>
      </c>
      <c r="D18" s="18"/>
      <c r="E18" s="14">
        <v>-22.5</v>
      </c>
      <c r="F18" s="16">
        <v>49</v>
      </c>
      <c r="G18" s="12">
        <f>C18/C17-1</f>
        <v>0.07512953367875649</v>
      </c>
      <c r="H18" s="12">
        <f>(E18+F18-C18)/C18</f>
        <v>-0.936144578313253</v>
      </c>
      <c r="I18" s="12">
        <f>AVERAGE(J15:J18)</f>
        <v>-0.853794751902067</v>
      </c>
      <c r="J18" s="12">
        <f>('Cashflow '!E19+'Cashflow '!G19-'Cashflow '!C19)/'Cashflow '!C19</f>
        <v>-1.03179190751445</v>
      </c>
    </row>
    <row r="19" ht="20.05" customHeight="1">
      <c r="B19" s="27">
        <v>2021</v>
      </c>
      <c r="C19" s="26">
        <v>484</v>
      </c>
      <c r="D19" s="18"/>
      <c r="E19" s="16">
        <v>-12.5</v>
      </c>
      <c r="F19" s="16">
        <v>23</v>
      </c>
      <c r="G19" s="12">
        <f>C19/C18-1</f>
        <v>0.166265060240964</v>
      </c>
      <c r="H19" s="12">
        <f>(E19+F19-C19)/C19</f>
        <v>-0.978305785123967</v>
      </c>
      <c r="I19" s="12">
        <f>AVERAGE(J16:J19)</f>
        <v>-0.829027443474168</v>
      </c>
      <c r="J19" s="12">
        <f>('Cashflow '!E20+'Cashflow '!G20-'Cashflow '!C20)/'Cashflow '!C20</f>
        <v>-0.9683794466403161</v>
      </c>
    </row>
    <row r="20" ht="20.05" customHeight="1">
      <c r="B20" s="25"/>
      <c r="C20" s="28">
        <v>571</v>
      </c>
      <c r="D20" s="18"/>
      <c r="E20" s="16">
        <v>-12.5</v>
      </c>
      <c r="F20" s="16">
        <v>10</v>
      </c>
      <c r="G20" s="12">
        <f>C20/C19-1</f>
        <v>0.179752066115702</v>
      </c>
      <c r="H20" s="12">
        <f>(E20+F20-C20)/C20</f>
        <v>-1.00437828371278</v>
      </c>
      <c r="I20" s="12">
        <f>AVERAGE(J17:J20)</f>
        <v>-1.01170118864791</v>
      </c>
      <c r="J20" s="12">
        <f>('Cashflow '!E21+'Cashflow '!G21-'Cashflow '!C21)/'Cashflow '!C21</f>
        <v>-1.08783783783784</v>
      </c>
    </row>
    <row r="21" ht="20.05" customHeight="1">
      <c r="B21" s="25"/>
      <c r="C21" s="28">
        <f>1610.1-SUM(C19:C20)</f>
        <v>555.1</v>
      </c>
      <c r="D21" s="14">
        <v>628.1</v>
      </c>
      <c r="E21" s="16">
        <f>-36-SUM(E19:E20)</f>
        <v>-11</v>
      </c>
      <c r="F21" s="29">
        <f>59.5-SUM(F19:F20)</f>
        <v>26.5</v>
      </c>
      <c r="G21" s="12">
        <f>C21/C20-1</f>
        <v>-0.02784588441331</v>
      </c>
      <c r="H21" s="12">
        <f>(E21+F21-C21)/C21</f>
        <v>-0.972077103224644</v>
      </c>
      <c r="I21" s="12">
        <f>AVERAGE(J18:J21)</f>
        <v>-1.03969289755404</v>
      </c>
      <c r="J21" s="12">
        <f>('Cashflow '!E22+'Cashflow '!G22-'Cashflow '!C22)/'Cashflow '!C22</f>
        <v>-1.07076239822354</v>
      </c>
    </row>
    <row r="22" ht="20.05" customHeight="1">
      <c r="B22" s="25"/>
      <c r="C22" s="28"/>
      <c r="D22" s="14">
        <f>'Model'!C6</f>
        <v>582.855</v>
      </c>
      <c r="E22" s="18"/>
      <c r="F22" s="29"/>
      <c r="G22" s="30"/>
      <c r="H22" s="12">
        <f>'Model'!C7</f>
        <v>-0.972077103224644</v>
      </c>
      <c r="I22" s="18"/>
      <c r="J22" s="18"/>
    </row>
    <row r="23" ht="20.05" customHeight="1">
      <c r="B23" s="27">
        <v>2022</v>
      </c>
      <c r="C23" s="28"/>
      <c r="D23" s="14">
        <f>'Model'!D6</f>
        <v>594.5121</v>
      </c>
      <c r="E23" s="29"/>
      <c r="F23" s="29"/>
      <c r="G23" s="30"/>
      <c r="H23" s="31"/>
      <c r="I23" s="31"/>
      <c r="J23" s="31"/>
    </row>
    <row r="24" ht="20.05" customHeight="1">
      <c r="B24" s="25"/>
      <c r="C24" s="28"/>
      <c r="D24" s="29">
        <f>'Model'!E6</f>
        <v>624.237705</v>
      </c>
      <c r="E24" s="29"/>
      <c r="F24" s="29"/>
      <c r="G24" s="30"/>
      <c r="H24" s="31"/>
      <c r="I24" s="31"/>
      <c r="J24" s="31"/>
    </row>
    <row r="25" ht="20.05" customHeight="1">
      <c r="B25" s="25"/>
      <c r="C25" s="28"/>
      <c r="D25" s="29">
        <f>'Model'!F6</f>
        <v>642.96483615</v>
      </c>
      <c r="E25" s="29"/>
      <c r="F25" s="29"/>
      <c r="G25" s="30"/>
      <c r="H25" s="31"/>
      <c r="I25" s="31"/>
      <c r="J25" s="31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M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2" customWidth="1"/>
    <col min="2" max="2" width="9.5625" style="32" customWidth="1"/>
    <col min="3" max="13" width="10.3672" style="32" customWidth="1"/>
    <col min="14" max="16384" width="16.3516" style="32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6.75" customHeight="1">
      <c r="B3" t="s" s="4">
        <v>1</v>
      </c>
      <c r="C3" t="s" s="4">
        <v>46</v>
      </c>
      <c r="D3" t="s" s="4">
        <v>47</v>
      </c>
      <c r="E3" t="s" s="4">
        <v>8</v>
      </c>
      <c r="F3" t="s" s="4">
        <v>9</v>
      </c>
      <c r="G3" t="s" s="4">
        <v>48</v>
      </c>
      <c r="H3" t="s" s="4">
        <v>11</v>
      </c>
      <c r="I3" t="s" s="4">
        <v>12</v>
      </c>
      <c r="J3" t="s" s="4">
        <v>10</v>
      </c>
      <c r="K3" t="s" s="4">
        <v>49</v>
      </c>
      <c r="L3" t="s" s="4">
        <v>3</v>
      </c>
      <c r="M3" t="s" s="4">
        <v>28</v>
      </c>
    </row>
    <row r="4" ht="21.2" customHeight="1">
      <c r="B4" s="22">
        <v>2017</v>
      </c>
      <c r="C4" s="33">
        <v>392</v>
      </c>
      <c r="D4" s="34">
        <v>-16</v>
      </c>
      <c r="E4" s="34">
        <v>-14</v>
      </c>
      <c r="F4" s="34">
        <v>-10</v>
      </c>
      <c r="G4" s="34">
        <v>-26</v>
      </c>
      <c r="H4" s="34"/>
      <c r="I4" s="34"/>
      <c r="J4" s="34">
        <v>41</v>
      </c>
      <c r="K4" s="24">
        <f>G4+F4+E4</f>
        <v>-50</v>
      </c>
      <c r="L4" s="24">
        <f>AVERAGE(K4:K4)</f>
        <v>-50</v>
      </c>
      <c r="M4" s="34">
        <f>-(J4-G4)</f>
        <v>-67</v>
      </c>
    </row>
    <row r="5" ht="21.2" customHeight="1">
      <c r="B5" s="25"/>
      <c r="C5" s="15">
        <v>314</v>
      </c>
      <c r="D5" s="16">
        <v>-41</v>
      </c>
      <c r="E5" s="16">
        <v>-11</v>
      </c>
      <c r="F5" s="16">
        <v>-42</v>
      </c>
      <c r="G5" s="16">
        <v>-17</v>
      </c>
      <c r="H5" s="16"/>
      <c r="I5" s="16"/>
      <c r="J5" s="16">
        <v>51</v>
      </c>
      <c r="K5" s="14">
        <f>G5+F5+E5</f>
        <v>-70</v>
      </c>
      <c r="L5" s="14">
        <f>AVERAGE(K4:K5)</f>
        <v>-60</v>
      </c>
      <c r="M5" s="16">
        <f>-(J5-G5)+M4</f>
        <v>-135</v>
      </c>
    </row>
    <row r="6" ht="21.2" customHeight="1">
      <c r="B6" s="25"/>
      <c r="C6" s="15">
        <v>439</v>
      </c>
      <c r="D6" s="16">
        <v>-19</v>
      </c>
      <c r="E6" s="16">
        <v>152</v>
      </c>
      <c r="F6" s="16">
        <v>-15</v>
      </c>
      <c r="G6" s="16">
        <v>-30</v>
      </c>
      <c r="H6" s="16"/>
      <c r="I6" s="16"/>
      <c r="J6" s="16">
        <v>-143</v>
      </c>
      <c r="K6" s="14">
        <f>G6+F6+E6</f>
        <v>107</v>
      </c>
      <c r="L6" s="14">
        <f>AVERAGE(K4:K6)</f>
        <v>-4.33333333333333</v>
      </c>
      <c r="M6" s="16">
        <f>-(J6-G6)+M5</f>
        <v>-22</v>
      </c>
    </row>
    <row r="7" ht="21.2" customHeight="1">
      <c r="B7" s="25"/>
      <c r="C7" s="15">
        <v>446</v>
      </c>
      <c r="D7" s="16">
        <v>-81</v>
      </c>
      <c r="E7" s="16">
        <v>77</v>
      </c>
      <c r="F7" s="16">
        <v>-85</v>
      </c>
      <c r="G7" s="16">
        <v>-12</v>
      </c>
      <c r="H7" s="16"/>
      <c r="I7" s="16"/>
      <c r="J7" s="16">
        <v>12</v>
      </c>
      <c r="K7" s="14">
        <f>G7+F7+E7</f>
        <v>-20</v>
      </c>
      <c r="L7" s="14">
        <f>AVERAGE(K4:K7)</f>
        <v>-8.25</v>
      </c>
      <c r="M7" s="16">
        <f>-(J7-G7)+M6</f>
        <v>-46</v>
      </c>
    </row>
    <row r="8" ht="21.2" customHeight="1">
      <c r="B8" s="27">
        <v>2018</v>
      </c>
      <c r="C8" s="15">
        <v>452</v>
      </c>
      <c r="D8" s="16">
        <v>-49</v>
      </c>
      <c r="E8" s="16">
        <v>-45</v>
      </c>
      <c r="F8" s="16">
        <v>-46</v>
      </c>
      <c r="G8" s="16">
        <v>-17</v>
      </c>
      <c r="H8" s="16"/>
      <c r="I8" s="16"/>
      <c r="J8" s="16">
        <v>65</v>
      </c>
      <c r="K8" s="14">
        <f>G8+F8+E8</f>
        <v>-108</v>
      </c>
      <c r="L8" s="14">
        <f>AVERAGE(K5:K8)</f>
        <v>-22.75</v>
      </c>
      <c r="M8" s="16">
        <f>-(J8-G8)+M7</f>
        <v>-128</v>
      </c>
    </row>
    <row r="9" ht="21.2" customHeight="1">
      <c r="B9" s="25"/>
      <c r="C9" s="15">
        <v>395</v>
      </c>
      <c r="D9" s="16">
        <v>-7</v>
      </c>
      <c r="E9" s="16">
        <v>-149</v>
      </c>
      <c r="F9" s="16">
        <v>-3</v>
      </c>
      <c r="G9" s="16">
        <v>-14</v>
      </c>
      <c r="H9" s="16"/>
      <c r="I9" s="16"/>
      <c r="J9" s="16">
        <v>126</v>
      </c>
      <c r="K9" s="14">
        <f>G9+F9+E9</f>
        <v>-166</v>
      </c>
      <c r="L9" s="14">
        <f>AVERAGE(K6:K9)</f>
        <v>-46.75</v>
      </c>
      <c r="M9" s="16">
        <f>-(J9-G9)+M8</f>
        <v>-268</v>
      </c>
    </row>
    <row r="10" ht="21.2" customHeight="1">
      <c r="B10" s="25"/>
      <c r="C10" s="15">
        <v>433</v>
      </c>
      <c r="D10" s="16">
        <v>-97</v>
      </c>
      <c r="E10" s="16">
        <v>34</v>
      </c>
      <c r="F10" s="16">
        <v>-97</v>
      </c>
      <c r="G10" s="16">
        <v>-20</v>
      </c>
      <c r="H10" s="16"/>
      <c r="I10" s="16"/>
      <c r="J10" s="16">
        <v>15</v>
      </c>
      <c r="K10" s="14">
        <f>G10+F10+E10</f>
        <v>-83</v>
      </c>
      <c r="L10" s="14">
        <f>AVERAGE(K7:K10)</f>
        <v>-94.25</v>
      </c>
      <c r="M10" s="16">
        <f>-(J10-G10)+M9</f>
        <v>-303</v>
      </c>
    </row>
    <row r="11" ht="21.2" customHeight="1">
      <c r="B11" s="25"/>
      <c r="C11" s="15">
        <v>597</v>
      </c>
      <c r="D11" s="16">
        <v>-124</v>
      </c>
      <c r="E11" s="16">
        <v>80</v>
      </c>
      <c r="F11" s="16">
        <v>-128</v>
      </c>
      <c r="G11" s="16">
        <v>-36</v>
      </c>
      <c r="H11" s="16"/>
      <c r="I11" s="16"/>
      <c r="J11" s="16">
        <v>36</v>
      </c>
      <c r="K11" s="14">
        <f>G11+F11+E11</f>
        <v>-84</v>
      </c>
      <c r="L11" s="14">
        <f>AVERAGE(K8:K11)</f>
        <v>-110.25</v>
      </c>
      <c r="M11" s="16">
        <f>-(J11-G11)+M10</f>
        <v>-375</v>
      </c>
    </row>
    <row r="12" ht="21.2" customHeight="1">
      <c r="B12" s="27">
        <v>2019</v>
      </c>
      <c r="C12" s="15">
        <v>697</v>
      </c>
      <c r="D12" s="16">
        <v>-30</v>
      </c>
      <c r="E12" s="16">
        <v>-8</v>
      </c>
      <c r="F12" s="16">
        <v>20</v>
      </c>
      <c r="G12" s="16">
        <v>-29</v>
      </c>
      <c r="H12" s="16"/>
      <c r="I12" s="16"/>
      <c r="J12" s="16">
        <v>-40</v>
      </c>
      <c r="K12" s="14">
        <f>G12+F12+E12</f>
        <v>-17</v>
      </c>
      <c r="L12" s="14">
        <f>AVERAGE(K9:K12)</f>
        <v>-87.5</v>
      </c>
      <c r="M12" s="16">
        <f>-(J12-G12)+M11</f>
        <v>-364</v>
      </c>
    </row>
    <row r="13" ht="21.2" customHeight="1">
      <c r="B13" s="25"/>
      <c r="C13" s="15">
        <v>199</v>
      </c>
      <c r="D13" s="16">
        <v>-45</v>
      </c>
      <c r="E13" s="16">
        <v>122</v>
      </c>
      <c r="F13" s="16">
        <v>-104</v>
      </c>
      <c r="G13" s="16">
        <v>-7</v>
      </c>
      <c r="H13" s="16"/>
      <c r="I13" s="16"/>
      <c r="J13" s="16">
        <v>9</v>
      </c>
      <c r="K13" s="14">
        <f>G13+F13+E13</f>
        <v>11</v>
      </c>
      <c r="L13" s="14">
        <f>AVERAGE(K10:K13)</f>
        <v>-43.25</v>
      </c>
      <c r="M13" s="16">
        <f>-(J13-G13)+M12</f>
        <v>-380</v>
      </c>
    </row>
    <row r="14" ht="21.2" customHeight="1">
      <c r="B14" s="25"/>
      <c r="C14" s="15">
        <v>338</v>
      </c>
      <c r="D14" s="16">
        <v>-10</v>
      </c>
      <c r="E14" s="16">
        <v>8</v>
      </c>
      <c r="F14" s="16">
        <v>-74</v>
      </c>
      <c r="G14" s="16">
        <v>-30</v>
      </c>
      <c r="H14" s="16"/>
      <c r="I14" s="16"/>
      <c r="J14" s="16">
        <v>31</v>
      </c>
      <c r="K14" s="14">
        <f>G14+F14+E14</f>
        <v>-96</v>
      </c>
      <c r="L14" s="14">
        <f>AVERAGE(K11:K14)</f>
        <v>-46.5</v>
      </c>
      <c r="M14" s="16">
        <f>-(J14-G14)+M13</f>
        <v>-441</v>
      </c>
    </row>
    <row r="15" ht="21.2" customHeight="1">
      <c r="B15" s="25"/>
      <c r="C15" s="15">
        <v>207</v>
      </c>
      <c r="D15" s="16">
        <v>-115</v>
      </c>
      <c r="E15" s="16">
        <v>54</v>
      </c>
      <c r="F15" s="16">
        <v>-79</v>
      </c>
      <c r="G15" s="16">
        <v>-55</v>
      </c>
      <c r="H15" s="16"/>
      <c r="I15" s="16"/>
      <c r="J15" s="16">
        <v>12</v>
      </c>
      <c r="K15" s="14">
        <f>G15+F15+E15</f>
        <v>-80</v>
      </c>
      <c r="L15" s="14">
        <f>AVERAGE(K12:K15)</f>
        <v>-45.5</v>
      </c>
      <c r="M15" s="16">
        <f>-(J15-G15)+M14</f>
        <v>-508</v>
      </c>
    </row>
    <row r="16" ht="21.2" customHeight="1">
      <c r="B16" s="27">
        <v>2020</v>
      </c>
      <c r="C16" s="15">
        <v>341</v>
      </c>
      <c r="D16" s="16">
        <v>-14</v>
      </c>
      <c r="E16" s="16">
        <v>10</v>
      </c>
      <c r="F16" s="16">
        <v>17</v>
      </c>
      <c r="G16" s="16">
        <v>-33</v>
      </c>
      <c r="H16" s="16"/>
      <c r="I16" s="16"/>
      <c r="J16" s="16">
        <v>-89</v>
      </c>
      <c r="K16" s="14">
        <f>G16+F16+E16</f>
        <v>-6</v>
      </c>
      <c r="L16" s="14">
        <f>AVERAGE(K13:K16)</f>
        <v>-42.75</v>
      </c>
      <c r="M16" s="16">
        <f>-(J16-G16)+M15</f>
        <v>-452</v>
      </c>
    </row>
    <row r="17" ht="21.2" customHeight="1">
      <c r="B17" s="25"/>
      <c r="C17" s="15">
        <v>14</v>
      </c>
      <c r="D17" s="16">
        <v>-2</v>
      </c>
      <c r="E17" s="16">
        <v>-28</v>
      </c>
      <c r="F17" s="16">
        <v>-14</v>
      </c>
      <c r="G17" s="16">
        <v>37</v>
      </c>
      <c r="H17" s="16"/>
      <c r="I17" s="16"/>
      <c r="J17" s="16">
        <v>138</v>
      </c>
      <c r="K17" s="14">
        <f>G17+F17+E17</f>
        <v>-5</v>
      </c>
      <c r="L17" s="14">
        <f>AVERAGE(K14:K17)</f>
        <v>-46.75</v>
      </c>
      <c r="M17" s="16">
        <f>-(J17-G17)+M16</f>
        <v>-553</v>
      </c>
    </row>
    <row r="18" ht="21.2" customHeight="1">
      <c r="B18" s="25"/>
      <c r="C18" s="15">
        <v>631</v>
      </c>
      <c r="D18" s="16">
        <v>-20</v>
      </c>
      <c r="E18" s="16">
        <v>63</v>
      </c>
      <c r="F18" s="16">
        <v>2</v>
      </c>
      <c r="G18" s="16">
        <v>-37</v>
      </c>
      <c r="H18" s="16"/>
      <c r="I18" s="16"/>
      <c r="J18" s="16">
        <v>-128</v>
      </c>
      <c r="K18" s="14">
        <f>G18+F18+E18</f>
        <v>28</v>
      </c>
      <c r="L18" s="14">
        <f>AVERAGE(K15:K18)</f>
        <v>-15.75</v>
      </c>
      <c r="M18" s="16">
        <f>-(J18-G18)+M17</f>
        <v>-462</v>
      </c>
    </row>
    <row r="19" ht="21.2" customHeight="1">
      <c r="B19" s="25"/>
      <c r="C19" s="15">
        <v>346</v>
      </c>
      <c r="D19" s="16">
        <v>10</v>
      </c>
      <c r="E19" s="16">
        <v>26</v>
      </c>
      <c r="F19" s="16">
        <v>-209</v>
      </c>
      <c r="G19" s="16">
        <v>-37</v>
      </c>
      <c r="H19" s="16"/>
      <c r="I19" s="16"/>
      <c r="J19" s="16">
        <v>199</v>
      </c>
      <c r="K19" s="14">
        <f>G19+F19+E19</f>
        <v>-220</v>
      </c>
      <c r="L19" s="14">
        <f>AVERAGE(K16:K19)</f>
        <v>-50.75</v>
      </c>
      <c r="M19" s="16">
        <f>-(J19-G19)+M18</f>
        <v>-698</v>
      </c>
    </row>
    <row r="20" ht="21.2" customHeight="1">
      <c r="B20" s="27">
        <v>2021</v>
      </c>
      <c r="C20" s="15">
        <v>506</v>
      </c>
      <c r="D20" s="16">
        <v>-8</v>
      </c>
      <c r="E20" s="16">
        <v>24</v>
      </c>
      <c r="F20" s="16">
        <v>55</v>
      </c>
      <c r="G20" s="16">
        <v>-8</v>
      </c>
      <c r="H20" s="16">
        <f>-67.864-G20</f>
        <v>-59.864</v>
      </c>
      <c r="I20" s="16"/>
      <c r="J20" s="16">
        <v>-70</v>
      </c>
      <c r="K20" s="14">
        <f>G20+F20+E20</f>
        <v>71</v>
      </c>
      <c r="L20" s="14">
        <f>AVERAGE(K17:K20)</f>
        <v>-31.5</v>
      </c>
      <c r="M20" s="16">
        <f>-(J20-G20)+M19</f>
        <v>-636</v>
      </c>
    </row>
    <row r="21" ht="21.2" customHeight="1">
      <c r="B21" s="25"/>
      <c r="C21" s="15">
        <v>592</v>
      </c>
      <c r="D21" s="16">
        <v>-2</v>
      </c>
      <c r="E21" s="16">
        <v>-41</v>
      </c>
      <c r="F21" s="16">
        <v>-42</v>
      </c>
      <c r="G21" s="16">
        <v>-11</v>
      </c>
      <c r="H21" s="16">
        <f>-32.82-G21-G20-H20</f>
        <v>46.044</v>
      </c>
      <c r="I21" s="16"/>
      <c r="J21" s="16">
        <v>37</v>
      </c>
      <c r="K21" s="14">
        <f>G21+F21+E21</f>
        <v>-94</v>
      </c>
      <c r="L21" s="14">
        <f>AVERAGE(K18:K21)</f>
        <v>-53.75</v>
      </c>
      <c r="M21" s="16">
        <f>-(J21-G21)+M20</f>
        <v>-684</v>
      </c>
    </row>
    <row r="22" ht="21.2" customHeight="1">
      <c r="B22" s="25"/>
      <c r="C22" s="15">
        <f>1773.5-SUM(C20:C21)</f>
        <v>675.5</v>
      </c>
      <c r="D22" s="16">
        <f>-154-SUM(D20:D21)</f>
        <v>-144</v>
      </c>
      <c r="E22" s="16">
        <f>-50.3-SUM(E20:E21)</f>
        <v>-33.3</v>
      </c>
      <c r="F22" s="16">
        <f>-20.7-SUM(F20:F21)</f>
        <v>-33.7</v>
      </c>
      <c r="G22" s="16">
        <f>-33.5-SUM(G20:G21)</f>
        <v>-14.5</v>
      </c>
      <c r="H22" s="16">
        <f>55.539-G22-G21-G20-H21-H20</f>
        <v>102.859</v>
      </c>
      <c r="I22" s="16"/>
      <c r="J22" s="16">
        <f>55.5-SUM(J20:J21)</f>
        <v>88.5</v>
      </c>
      <c r="K22" s="14">
        <f>G22+F22+E22</f>
        <v>-81.5</v>
      </c>
      <c r="L22" s="14">
        <f>AVERAGE(K19:K22)</f>
        <v>-81.125</v>
      </c>
      <c r="M22" s="16">
        <f>-(J22-G22)+M21</f>
        <v>-787</v>
      </c>
    </row>
    <row r="23" ht="21.2" customHeight="1">
      <c r="B23" s="25"/>
      <c r="C23" s="15"/>
      <c r="D23" s="16"/>
      <c r="E23" s="16"/>
      <c r="F23" s="16"/>
      <c r="G23" s="16"/>
      <c r="H23" s="16"/>
      <c r="I23" s="16"/>
      <c r="J23" s="16"/>
      <c r="K23" s="14"/>
      <c r="L23" s="14">
        <f>SUM('Model'!F9:F10)</f>
        <v>-15.74655925</v>
      </c>
      <c r="M23" s="16">
        <f>'Model'!F33</f>
        <v>-853.54053425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5" customWidth="1"/>
    <col min="2" max="11" width="9.21875" style="35" customWidth="1"/>
    <col min="12" max="16384" width="16.3516" style="35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50</v>
      </c>
      <c r="D3" t="s" s="4">
        <v>51</v>
      </c>
      <c r="E3" t="s" s="4">
        <v>21</v>
      </c>
      <c r="F3" t="s" s="4">
        <v>22</v>
      </c>
      <c r="G3" t="s" s="4">
        <v>11</v>
      </c>
      <c r="H3" t="s" s="4">
        <v>12</v>
      </c>
      <c r="I3" t="s" s="4">
        <v>52</v>
      </c>
      <c r="J3" t="s" s="4">
        <v>25</v>
      </c>
      <c r="K3" t="s" s="4">
        <v>34</v>
      </c>
    </row>
    <row r="4" ht="20.25" customHeight="1">
      <c r="B4" s="22">
        <v>2018</v>
      </c>
      <c r="C4" s="33">
        <v>255</v>
      </c>
      <c r="D4" s="34">
        <v>4105</v>
      </c>
      <c r="E4" s="34">
        <f>D4-C4</f>
        <v>3850</v>
      </c>
      <c r="F4" s="34"/>
      <c r="G4" s="34">
        <v>2281</v>
      </c>
      <c r="H4" s="34">
        <v>1824</v>
      </c>
      <c r="I4" s="34">
        <f>G4+H4-C4-E4</f>
        <v>0</v>
      </c>
      <c r="J4" s="34">
        <f>C4-G4</f>
        <v>-2026</v>
      </c>
      <c r="K4" s="34"/>
    </row>
    <row r="5" ht="20.05" customHeight="1">
      <c r="B5" s="25"/>
      <c r="C5" s="15">
        <v>228</v>
      </c>
      <c r="D5" s="16">
        <v>4140</v>
      </c>
      <c r="E5" s="16">
        <f>D5-C5</f>
        <v>3912</v>
      </c>
      <c r="F5" s="16"/>
      <c r="G5" s="16">
        <v>2392</v>
      </c>
      <c r="H5" s="16">
        <v>1748</v>
      </c>
      <c r="I5" s="16">
        <f>G5+H5-C5-E5</f>
        <v>0</v>
      </c>
      <c r="J5" s="16">
        <f>C5-G5</f>
        <v>-2164</v>
      </c>
      <c r="K5" s="16"/>
    </row>
    <row r="6" ht="20.05" customHeight="1">
      <c r="B6" s="25"/>
      <c r="C6" s="15">
        <v>180</v>
      </c>
      <c r="D6" s="16">
        <v>4036</v>
      </c>
      <c r="E6" s="16">
        <f>D6-C6</f>
        <v>3856</v>
      </c>
      <c r="F6" s="16"/>
      <c r="G6" s="16">
        <v>2357</v>
      </c>
      <c r="H6" s="16">
        <v>1678</v>
      </c>
      <c r="I6" s="16">
        <f>G6+H6-C6-E6</f>
        <v>-1</v>
      </c>
      <c r="J6" s="16">
        <f>C6-G6</f>
        <v>-2177</v>
      </c>
      <c r="K6" s="16"/>
    </row>
    <row r="7" ht="20.05" customHeight="1">
      <c r="B7" s="25"/>
      <c r="C7" s="15">
        <v>173</v>
      </c>
      <c r="D7" s="16">
        <v>4298</v>
      </c>
      <c r="E7" s="16">
        <f>D7-C7</f>
        <v>4125</v>
      </c>
      <c r="F7" s="16"/>
      <c r="G7" s="16">
        <v>2498</v>
      </c>
      <c r="H7" s="16">
        <v>1800</v>
      </c>
      <c r="I7" s="16">
        <f>G7+H7-C7-E7</f>
        <v>0</v>
      </c>
      <c r="J7" s="16">
        <f>C7-G7</f>
        <v>-2325</v>
      </c>
      <c r="K7" s="16"/>
    </row>
    <row r="8" ht="20.05" customHeight="1">
      <c r="B8" s="27">
        <v>2019</v>
      </c>
      <c r="C8" s="15">
        <v>72</v>
      </c>
      <c r="D8" s="16">
        <v>4162</v>
      </c>
      <c r="E8" s="16">
        <f>D8-C8</f>
        <v>4090</v>
      </c>
      <c r="F8" s="16"/>
      <c r="G8" s="16">
        <v>2401</v>
      </c>
      <c r="H8" s="16">
        <v>1761</v>
      </c>
      <c r="I8" s="16">
        <f>G8+H8-C8-E8</f>
        <v>0</v>
      </c>
      <c r="J8" s="16">
        <f>C8-G8</f>
        <v>-2329</v>
      </c>
      <c r="K8" s="16"/>
    </row>
    <row r="9" ht="20.05" customHeight="1">
      <c r="B9" s="25"/>
      <c r="C9" s="15">
        <v>172</v>
      </c>
      <c r="D9" s="16">
        <v>4271</v>
      </c>
      <c r="E9" s="16">
        <f>D9-C9</f>
        <v>4099</v>
      </c>
      <c r="F9" s="16"/>
      <c r="G9" s="16">
        <v>2572</v>
      </c>
      <c r="H9" s="16">
        <v>1699</v>
      </c>
      <c r="I9" s="16">
        <f>G9+H9-C9-E9</f>
        <v>0</v>
      </c>
      <c r="J9" s="16">
        <f>C9-G9</f>
        <v>-2400</v>
      </c>
      <c r="K9" s="16"/>
    </row>
    <row r="10" ht="20.05" customHeight="1">
      <c r="B10" s="25"/>
      <c r="C10" s="15">
        <v>136</v>
      </c>
      <c r="D10" s="16">
        <v>4298</v>
      </c>
      <c r="E10" s="16">
        <f>D10-C10</f>
        <v>4162</v>
      </c>
      <c r="F10" s="16"/>
      <c r="G10" s="16">
        <v>2683</v>
      </c>
      <c r="H10" s="16">
        <v>1615</v>
      </c>
      <c r="I10" s="16">
        <f>G10+H10-C10-E10</f>
        <v>0</v>
      </c>
      <c r="J10" s="16">
        <f>C10-G10</f>
        <v>-2547</v>
      </c>
      <c r="K10" s="16"/>
    </row>
    <row r="11" ht="20.05" customHeight="1">
      <c r="B11" s="25"/>
      <c r="C11" s="15">
        <v>130</v>
      </c>
      <c r="D11" s="16">
        <v>3287</v>
      </c>
      <c r="E11" s="16">
        <f>D11-C11</f>
        <v>3157</v>
      </c>
      <c r="F11" s="16"/>
      <c r="G11" s="16">
        <v>2931</v>
      </c>
      <c r="H11" s="16">
        <v>356</v>
      </c>
      <c r="I11" s="16">
        <f>G11+H11-C11-E11</f>
        <v>0</v>
      </c>
      <c r="J11" s="16">
        <f>C11-G11</f>
        <v>-2801</v>
      </c>
      <c r="K11" s="16"/>
    </row>
    <row r="12" ht="20.05" customHeight="1">
      <c r="B12" s="27">
        <v>2020</v>
      </c>
      <c r="C12" s="15">
        <v>64</v>
      </c>
      <c r="D12" s="16">
        <v>2930</v>
      </c>
      <c r="E12" s="16">
        <f>D12-C12</f>
        <v>2866</v>
      </c>
      <c r="F12" s="16"/>
      <c r="G12" s="16">
        <v>2730</v>
      </c>
      <c r="H12" s="16">
        <v>199</v>
      </c>
      <c r="I12" s="16">
        <f>G12+H12-C12-E12</f>
        <v>-1</v>
      </c>
      <c r="J12" s="16">
        <f>C12-G12</f>
        <v>-2666</v>
      </c>
      <c r="K12" s="16"/>
    </row>
    <row r="13" ht="20.05" customHeight="1">
      <c r="B13" s="25"/>
      <c r="C13" s="15">
        <v>104</v>
      </c>
      <c r="D13" s="16">
        <v>3324</v>
      </c>
      <c r="E13" s="16">
        <f>D13-C13</f>
        <v>3220</v>
      </c>
      <c r="F13" s="16"/>
      <c r="G13" s="16">
        <v>2853</v>
      </c>
      <c r="H13" s="16">
        <v>471</v>
      </c>
      <c r="I13" s="16">
        <f>G13+H13-C13-E13</f>
        <v>0</v>
      </c>
      <c r="J13" s="16">
        <f>C13-G13</f>
        <v>-2749</v>
      </c>
      <c r="K13" s="16"/>
    </row>
    <row r="14" ht="20.05" customHeight="1">
      <c r="B14" s="25"/>
      <c r="C14" s="15">
        <v>100</v>
      </c>
      <c r="D14" s="16">
        <v>3220</v>
      </c>
      <c r="E14" s="16">
        <f>D14-C14</f>
        <v>3120</v>
      </c>
      <c r="F14" s="16"/>
      <c r="G14" s="16">
        <v>2808</v>
      </c>
      <c r="H14" s="16">
        <v>413</v>
      </c>
      <c r="I14" s="16">
        <f>G14+H14-C14-E14</f>
        <v>1</v>
      </c>
      <c r="J14" s="16">
        <f>C14-G14</f>
        <v>-2708</v>
      </c>
      <c r="K14" s="16"/>
    </row>
    <row r="15" ht="20.05" customHeight="1">
      <c r="B15" s="25"/>
      <c r="C15" s="15">
        <v>113</v>
      </c>
      <c r="D15" s="16">
        <v>3486</v>
      </c>
      <c r="E15" s="16">
        <f>D15-C15</f>
        <v>3373</v>
      </c>
      <c r="F15" s="16"/>
      <c r="G15" s="16">
        <v>3038</v>
      </c>
      <c r="H15" s="16">
        <v>449</v>
      </c>
      <c r="I15" s="16">
        <f>G15+H15-C15-E15</f>
        <v>1</v>
      </c>
      <c r="J15" s="16">
        <f>C15-G15</f>
        <v>-2925</v>
      </c>
      <c r="K15" s="16"/>
    </row>
    <row r="16" ht="20.05" customHeight="1">
      <c r="B16" s="27">
        <v>2021</v>
      </c>
      <c r="C16" s="15">
        <v>118</v>
      </c>
      <c r="D16" s="16">
        <v>3455</v>
      </c>
      <c r="E16" s="16">
        <f>D16-C16</f>
        <v>3337</v>
      </c>
      <c r="F16" s="16"/>
      <c r="G16" s="16">
        <v>2990</v>
      </c>
      <c r="H16" s="16">
        <v>465</v>
      </c>
      <c r="I16" s="16">
        <f>G16+H16-C16-E16</f>
        <v>0</v>
      </c>
      <c r="J16" s="16">
        <f>C16-G16</f>
        <v>-2872</v>
      </c>
      <c r="K16" s="18"/>
    </row>
    <row r="17" ht="20.05" customHeight="1">
      <c r="B17" s="25"/>
      <c r="C17" s="15">
        <v>73</v>
      </c>
      <c r="D17" s="16">
        <v>3591</v>
      </c>
      <c r="E17" s="16">
        <f>D17-C17</f>
        <v>3518</v>
      </c>
      <c r="F17" s="16">
        <v>1069</v>
      </c>
      <c r="G17" s="16">
        <v>3182</v>
      </c>
      <c r="H17" s="16">
        <v>409</v>
      </c>
      <c r="I17" s="16">
        <f>G17+H17-C17-E17</f>
        <v>0</v>
      </c>
      <c r="J17" s="16">
        <f>C17-G17</f>
        <v>-3109</v>
      </c>
      <c r="K17" s="16"/>
    </row>
    <row r="18" ht="20.05" customHeight="1">
      <c r="B18" s="25"/>
      <c r="C18" s="15">
        <v>95</v>
      </c>
      <c r="D18" s="16">
        <v>3743</v>
      </c>
      <c r="E18" s="16">
        <f>D18-C18</f>
        <v>3648</v>
      </c>
      <c r="F18" s="16">
        <f>5+1086</f>
        <v>1091</v>
      </c>
      <c r="G18" s="16">
        <v>3322</v>
      </c>
      <c r="H18" s="16">
        <v>421</v>
      </c>
      <c r="I18" s="16">
        <f>G18+H18-C18-E18</f>
        <v>0</v>
      </c>
      <c r="J18" s="16">
        <f>C18-G18</f>
        <v>-3227</v>
      </c>
      <c r="K18" s="16">
        <f>J18</f>
        <v>-3227</v>
      </c>
    </row>
    <row r="19" ht="20.05" customHeight="1">
      <c r="B19" s="25"/>
      <c r="C19" s="15"/>
      <c r="D19" s="16"/>
      <c r="E19" s="16"/>
      <c r="F19" s="16"/>
      <c r="G19" s="16"/>
      <c r="H19" s="16"/>
      <c r="I19" s="16"/>
      <c r="J19" s="16"/>
      <c r="K19" s="16">
        <f>'Model'!F30</f>
        <v>-3293.54053425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5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6" customWidth="1"/>
    <col min="2" max="4" width="9.9375" style="36" customWidth="1"/>
    <col min="5" max="16384" width="16.3516" style="36" customWidth="1"/>
  </cols>
  <sheetData>
    <row r="1" ht="30.75" customHeight="1"/>
    <row r="2" ht="27.65" customHeight="1">
      <c r="B2" t="s" s="2">
        <v>53</v>
      </c>
      <c r="C2" s="2"/>
      <c r="D2" s="2"/>
    </row>
    <row r="3" ht="20.25" customHeight="1">
      <c r="B3" s="5"/>
      <c r="C3" t="s" s="37">
        <v>54</v>
      </c>
      <c r="D3" t="s" s="37">
        <v>55</v>
      </c>
    </row>
    <row r="4" ht="20.25" customHeight="1">
      <c r="B4" s="22">
        <v>2018</v>
      </c>
      <c r="C4" s="33">
        <v>515</v>
      </c>
      <c r="D4" s="8"/>
    </row>
    <row r="5" ht="20.05" customHeight="1">
      <c r="B5" s="25"/>
      <c r="C5" s="15">
        <v>510</v>
      </c>
      <c r="D5" s="18"/>
    </row>
    <row r="6" ht="20.05" customHeight="1">
      <c r="B6" s="25"/>
      <c r="C6" s="15">
        <v>438</v>
      </c>
      <c r="D6" s="18"/>
    </row>
    <row r="7" ht="20.05" customHeight="1">
      <c r="B7" s="25"/>
      <c r="C7" s="15">
        <v>440</v>
      </c>
      <c r="D7" s="18"/>
    </row>
    <row r="8" ht="20.05" customHeight="1">
      <c r="B8" s="25"/>
      <c r="C8" s="15">
        <v>432</v>
      </c>
      <c r="D8" s="18"/>
    </row>
    <row r="9" ht="20.05" customHeight="1">
      <c r="B9" s="25"/>
      <c r="C9" s="15">
        <v>456</v>
      </c>
      <c r="D9" s="18"/>
    </row>
    <row r="10" ht="20.05" customHeight="1">
      <c r="B10" s="25"/>
      <c r="C10" s="15">
        <v>410</v>
      </c>
      <c r="D10" s="18"/>
    </row>
    <row r="11" ht="20.05" customHeight="1">
      <c r="B11" s="25"/>
      <c r="C11" s="15">
        <v>416</v>
      </c>
      <c r="D11" s="18"/>
    </row>
    <row r="12" ht="20.05" customHeight="1">
      <c r="B12" s="25"/>
      <c r="C12" s="15">
        <v>400</v>
      </c>
      <c r="D12" s="18"/>
    </row>
    <row r="13" ht="20.05" customHeight="1">
      <c r="B13" s="25"/>
      <c r="C13" s="15">
        <v>370</v>
      </c>
      <c r="D13" s="18"/>
    </row>
    <row r="14" ht="20.05" customHeight="1">
      <c r="B14" s="25"/>
      <c r="C14" s="15">
        <v>410</v>
      </c>
      <c r="D14" s="18"/>
    </row>
    <row r="15" ht="20.05" customHeight="1">
      <c r="B15" s="25"/>
      <c r="C15" s="15">
        <v>402</v>
      </c>
      <c r="D15" s="18"/>
    </row>
    <row r="16" ht="20.05" customHeight="1">
      <c r="B16" s="27">
        <v>2019</v>
      </c>
      <c r="C16" s="15">
        <v>494</v>
      </c>
      <c r="D16" s="18"/>
    </row>
    <row r="17" ht="20.05" customHeight="1">
      <c r="B17" s="25"/>
      <c r="C17" s="15">
        <v>478</v>
      </c>
      <c r="D17" s="18"/>
    </row>
    <row r="18" ht="20.05" customHeight="1">
      <c r="B18" s="25"/>
      <c r="C18" s="15">
        <v>464</v>
      </c>
      <c r="D18" s="18"/>
    </row>
    <row r="19" ht="20.05" customHeight="1">
      <c r="B19" s="25"/>
      <c r="C19" s="15">
        <v>438</v>
      </c>
      <c r="D19" s="18"/>
    </row>
    <row r="20" ht="20.05" customHeight="1">
      <c r="B20" s="25"/>
      <c r="C20" s="15">
        <v>402</v>
      </c>
      <c r="D20" s="18"/>
    </row>
    <row r="21" ht="20.05" customHeight="1">
      <c r="B21" s="25"/>
      <c r="C21" s="15">
        <v>418</v>
      </c>
      <c r="D21" s="18"/>
    </row>
    <row r="22" ht="20.05" customHeight="1">
      <c r="B22" s="25"/>
      <c r="C22" s="15">
        <v>346</v>
      </c>
      <c r="D22" s="18"/>
    </row>
    <row r="23" ht="20.05" customHeight="1">
      <c r="B23" s="25"/>
      <c r="C23" s="15">
        <v>350</v>
      </c>
      <c r="D23" s="18"/>
    </row>
    <row r="24" ht="20.05" customHeight="1">
      <c r="B24" s="25"/>
      <c r="C24" s="15">
        <v>350</v>
      </c>
      <c r="D24" s="18"/>
    </row>
    <row r="25" ht="20.05" customHeight="1">
      <c r="B25" s="25"/>
      <c r="C25" s="15">
        <v>346</v>
      </c>
      <c r="D25" s="18"/>
    </row>
    <row r="26" ht="20.05" customHeight="1">
      <c r="B26" s="25"/>
      <c r="C26" s="15">
        <v>260</v>
      </c>
      <c r="D26" s="18"/>
    </row>
    <row r="27" ht="20.05" customHeight="1">
      <c r="B27" s="25"/>
      <c r="C27" s="15">
        <v>304</v>
      </c>
      <c r="D27" s="18"/>
    </row>
    <row r="28" ht="20.05" customHeight="1">
      <c r="B28" s="27">
        <v>2020</v>
      </c>
      <c r="C28" s="15">
        <v>272</v>
      </c>
      <c r="D28" s="18"/>
    </row>
    <row r="29" ht="20.05" customHeight="1">
      <c r="B29" s="25"/>
      <c r="C29" s="15">
        <v>230</v>
      </c>
      <c r="D29" s="18"/>
    </row>
    <row r="30" ht="20.05" customHeight="1">
      <c r="B30" s="25"/>
      <c r="C30" s="15">
        <v>149</v>
      </c>
      <c r="D30" s="18"/>
    </row>
    <row r="31" ht="20.05" customHeight="1">
      <c r="B31" s="25"/>
      <c r="C31" s="15">
        <v>171</v>
      </c>
      <c r="D31" s="18"/>
    </row>
    <row r="32" ht="20.05" customHeight="1">
      <c r="B32" s="25"/>
      <c r="C32" s="15">
        <v>192</v>
      </c>
      <c r="D32" s="18"/>
    </row>
    <row r="33" ht="20.05" customHeight="1">
      <c r="B33" s="25"/>
      <c r="C33" s="15">
        <v>276</v>
      </c>
      <c r="D33" s="18"/>
    </row>
    <row r="34" ht="20.05" customHeight="1">
      <c r="B34" s="25"/>
      <c r="C34" s="15">
        <v>380</v>
      </c>
      <c r="D34" s="18"/>
    </row>
    <row r="35" ht="20.05" customHeight="1">
      <c r="B35" s="25"/>
      <c r="C35" s="15">
        <v>388</v>
      </c>
      <c r="D35" s="18"/>
    </row>
    <row r="36" ht="20.05" customHeight="1">
      <c r="B36" s="25"/>
      <c r="C36" s="15">
        <v>286</v>
      </c>
      <c r="D36" s="18"/>
    </row>
    <row r="37" ht="20.05" customHeight="1">
      <c r="B37" s="25"/>
      <c r="C37" s="15">
        <v>360</v>
      </c>
      <c r="D37" s="18"/>
    </row>
    <row r="38" ht="20.05" customHeight="1">
      <c r="B38" s="25"/>
      <c r="C38" s="15">
        <v>412</v>
      </c>
      <c r="D38" s="18"/>
    </row>
    <row r="39" ht="20.05" customHeight="1">
      <c r="B39" s="25"/>
      <c r="C39" s="15">
        <v>428</v>
      </c>
      <c r="D39" s="18"/>
    </row>
    <row r="40" ht="20.05" customHeight="1">
      <c r="B40" s="27">
        <v>2021</v>
      </c>
      <c r="C40" s="15">
        <v>580</v>
      </c>
      <c r="D40" s="18"/>
    </row>
    <row r="41" ht="20.05" customHeight="1">
      <c r="B41" s="25"/>
      <c r="C41" s="15">
        <v>705</v>
      </c>
      <c r="D41" s="18"/>
    </row>
    <row r="42" ht="20.05" customHeight="1">
      <c r="B42" s="25"/>
      <c r="C42" s="15">
        <v>605</v>
      </c>
      <c r="D42" s="18"/>
    </row>
    <row r="43" ht="20.05" customHeight="1">
      <c r="B43" s="25"/>
      <c r="C43" s="15">
        <v>630</v>
      </c>
      <c r="D43" s="18"/>
    </row>
    <row r="44" ht="20.05" customHeight="1">
      <c r="B44" s="25"/>
      <c r="C44" s="15">
        <v>635</v>
      </c>
      <c r="D44" s="18"/>
    </row>
    <row r="45" ht="20.05" customHeight="1">
      <c r="B45" s="25"/>
      <c r="C45" s="15">
        <v>498</v>
      </c>
      <c r="D45" s="18"/>
    </row>
    <row r="46" ht="20.05" customHeight="1">
      <c r="B46" s="25"/>
      <c r="C46" s="15">
        <v>484</v>
      </c>
      <c r="D46" s="18"/>
    </row>
    <row r="47" ht="20.05" customHeight="1">
      <c r="B47" s="25"/>
      <c r="C47" s="15">
        <v>530</v>
      </c>
      <c r="D47" s="18"/>
    </row>
    <row r="48" ht="20.05" customHeight="1">
      <c r="B48" s="25"/>
      <c r="C48" s="15">
        <v>505</v>
      </c>
      <c r="D48" s="18"/>
    </row>
    <row r="49" ht="20.05" customHeight="1">
      <c r="B49" s="25"/>
      <c r="C49" s="15">
        <v>525</v>
      </c>
      <c r="D49" s="18"/>
    </row>
    <row r="50" ht="20.05" customHeight="1">
      <c r="B50" s="25"/>
      <c r="C50" s="15">
        <v>525</v>
      </c>
      <c r="D50" s="38">
        <f>C50</f>
        <v>525</v>
      </c>
    </row>
    <row r="51" ht="20.05" customHeight="1">
      <c r="B51" s="25"/>
      <c r="C51" s="15"/>
      <c r="D51" s="38">
        <f>'Model'!F43</f>
        <v>399.407777348487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