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<sst xmlns="http://schemas.openxmlformats.org/spreadsheetml/2006/main" uniqueCount="56">
  <si>
    <t>Financial model</t>
  </si>
  <si>
    <t>$m</t>
  </si>
  <si>
    <t>4Q 2021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</si>
  <si>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</si>
  <si>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</si>
  <si>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</si>
  <si>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</si>
  <si>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</si>
  <si>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</si>
  <si>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</si>
  <si>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</si>
  <si>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</si>
  <si>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</si>
  <si>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</si>
  <si>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</si>
  <si>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</si>
  <si>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</si>
  <si>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</si>
  <si>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</si>
  <si>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</si>
  <si>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</si>
  <si>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</si>
  <si>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</si>
  <si>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</si>
  <si>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</si>
  <si>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</si>
  <si>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</si>
  <si>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</si>
  <si>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</si>
  <si>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</si>
  <si>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</si>
  <si>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</si>
  <si>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</si>
  <si>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</si>
  <si>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</si>
  <si>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</si>
  <si>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</si>
  <si>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</si>
  <si>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</si>
  <si>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</si>
  <si>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</si>
  <si>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</si>
  <si>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 xml:space="preserve">Cash costs ratio </t>
  </si>
  <si>
    <t>Costs</t>
  </si>
  <si>
    <t>Profit</t>
  </si>
  <si>
    <t xml:space="preserve">Working capital </t>
  </si>
  <si>
    <t>PPE</t>
  </si>
  <si>
    <t xml:space="preserve">Free cashflow </t>
  </si>
  <si>
    <t xml:space="preserve">Cash </t>
  </si>
  <si>
    <t>Assets</t>
  </si>
  <si>
    <t xml:space="preserve">Other assets </t>
  </si>
  <si>
    <t>Check</t>
  </si>
  <si>
    <t>Net cash</t>
  </si>
  <si>
    <t>Share price</t>
  </si>
  <si>
    <t>KO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</si>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</sst>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0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902044</xdr:colOff>
      <xdr:row>1</xdr:row>
      <xdr:rowOff>317095</xdr:rowOff>
    </xdr:from>
    <xdr:to>
      <xdr:col>13</xdr:col>
      <xdr:colOff>643155</xdr:colOff>
      <xdr:row>45</xdr:row>
      <xdr:rowOff>237552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385144" y="473305"/>
          <a:ext cx="8453312" cy="112259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8</xdr:col>
      <xdr:colOff>683099</xdr:colOff>
      <xdr:row>42</xdr:row>
      <xdr:rowOff>113961</xdr:rowOff>
    </xdr:from>
    <xdr:to>
      <xdr:col>9</xdr:col>
      <xdr:colOff>595106</xdr:colOff>
      <xdr:row>45</xdr:row>
      <xdr:rowOff>17078</xdr:rowOff>
    </xdr:to>
    <xdr:sp>
      <xdr:nvSpPr>
        <xdr:cNvPr id="4" name="Circle"/>
        <xdr:cNvSpPr/>
      </xdr:nvSpPr>
      <xdr:spPr>
        <a:xfrm>
          <a:off x="6296499" y="11047391"/>
          <a:ext cx="661308" cy="661308"/>
        </a:xfrm>
        <a:prstGeom prst="ellipse">
          <a:avLst/>
        </a:prstGeom>
        <a:noFill/>
        <a:ln w="12700" cap="flat">
          <a:solidFill>
            <a:schemeClr val="accent5">
              <a:hueOff val="-82419"/>
              <a:satOff val="-9513"/>
              <a:lumOff val="-16343"/>
            </a:schemeClr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8</xdr:col>
      <xdr:colOff>537021</xdr:colOff>
      <xdr:row>43</xdr:row>
      <xdr:rowOff>229487</xdr:rowOff>
    </xdr:from>
    <xdr:to>
      <xdr:col>9</xdr:col>
      <xdr:colOff>203215</xdr:colOff>
      <xdr:row>44</xdr:row>
      <xdr:rowOff>119366</xdr:rowOff>
    </xdr:to>
    <xdr:sp>
      <xdr:nvSpPr>
        <xdr:cNvPr id="5" name="Line"/>
        <xdr:cNvSpPr/>
      </xdr:nvSpPr>
      <xdr:spPr>
        <a:xfrm flipV="1">
          <a:off x="6150421" y="11415647"/>
          <a:ext cx="415495" cy="142610"/>
        </a:xfrm>
        <a:prstGeom prst="line">
          <a:avLst/>
        </a:prstGeom>
        <a:noFill/>
        <a:ln w="12700" cap="flat">
          <a:solidFill>
            <a:schemeClr val="accent5">
              <a:hueOff val="-82419"/>
              <a:satOff val="-9513"/>
              <a:lumOff val="-16343"/>
            </a:schemeClr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8</xdr:col>
      <xdr:colOff>537021</xdr:colOff>
      <xdr:row>44</xdr:row>
      <xdr:rowOff>87155</xdr:rowOff>
    </xdr:from>
    <xdr:to>
      <xdr:col>9</xdr:col>
      <xdr:colOff>203215</xdr:colOff>
      <xdr:row>46</xdr:row>
      <xdr:rowOff>232303</xdr:rowOff>
    </xdr:to>
    <xdr:sp>
      <xdr:nvSpPr>
        <xdr:cNvPr id="6" name="Line"/>
        <xdr:cNvSpPr/>
      </xdr:nvSpPr>
      <xdr:spPr>
        <a:xfrm flipV="1">
          <a:off x="6150421" y="11526045"/>
          <a:ext cx="415495" cy="650609"/>
        </a:xfrm>
        <a:prstGeom prst="line">
          <a:avLst/>
        </a:prstGeom>
        <a:noFill/>
        <a:ln w="12700" cap="flat">
          <a:solidFill>
            <a:schemeClr val="accent5">
              <a:hueOff val="-82419"/>
              <a:satOff val="-9513"/>
              <a:lumOff val="-16343"/>
            </a:schemeClr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9062" style="1" customWidth="1"/>
    <col min="2" max="2" width="14.8281" style="1" customWidth="1"/>
    <col min="3" max="6" width="9.65625" style="1" customWidth="1"/>
    <col min="7" max="16384" width="16.3516" style="1" customWidth="1"/>
  </cols>
  <sheetData>
    <row r="1" ht="12.3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AVERAGE('Sales'!E23:E26)</f>
        <v>0.0392796003080806</v>
      </c>
      <c r="D4" s="8"/>
      <c r="E4" s="8"/>
      <c r="F4" s="9">
        <f>AVERAGE(C5:F5)</f>
        <v>0.0275</v>
      </c>
    </row>
    <row r="5" ht="20.05" customHeight="1">
      <c r="B5" t="s" s="10">
        <v>4</v>
      </c>
      <c r="C5" s="11">
        <v>0.01</v>
      </c>
      <c r="D5" s="12">
        <v>0.02</v>
      </c>
      <c r="E5" s="12">
        <v>0.1</v>
      </c>
      <c r="F5" s="12">
        <v>-0.02</v>
      </c>
    </row>
    <row r="6" ht="20.05" customHeight="1">
      <c r="B6" t="s" s="10">
        <v>5</v>
      </c>
      <c r="C6" s="13">
        <f>'Sales'!C26*(1+C5)</f>
        <v>10142.42</v>
      </c>
      <c r="D6" s="14">
        <f>C6*(1+D5)</f>
        <v>10345.2684</v>
      </c>
      <c r="E6" s="14">
        <f>D6*(1+E5)</f>
        <v>11379.79524</v>
      </c>
      <c r="F6" s="14">
        <f>E6*(1+F5)</f>
        <v>11152.1993352</v>
      </c>
    </row>
    <row r="7" ht="20.05" customHeight="1">
      <c r="B7" t="s" s="10">
        <v>6</v>
      </c>
      <c r="C7" s="15">
        <f>AVERAGE('Sales'!G26)</f>
        <v>-0.707510218398727</v>
      </c>
      <c r="D7" s="16">
        <f>C7</f>
        <v>-0.707510218398727</v>
      </c>
      <c r="E7" s="16">
        <f>D7</f>
        <v>-0.707510218398727</v>
      </c>
      <c r="F7" s="16">
        <f>E7</f>
        <v>-0.707510218398727</v>
      </c>
    </row>
    <row r="8" ht="20.05" customHeight="1">
      <c r="B8" t="s" s="10">
        <v>7</v>
      </c>
      <c r="C8" s="17">
        <f>C6*C7</f>
        <v>-7175.865789291620</v>
      </c>
      <c r="D8" s="18">
        <f>D6*D7</f>
        <v>-7319.383105077450</v>
      </c>
      <c r="E8" s="18">
        <f>E6*E7</f>
        <v>-8051.321415585190</v>
      </c>
      <c r="F8" s="18">
        <f>F6*F7</f>
        <v>-7890.294987273490</v>
      </c>
    </row>
    <row r="9" ht="20.05" customHeight="1">
      <c r="B9" t="s" s="10">
        <v>8</v>
      </c>
      <c r="C9" s="17">
        <f>C6+C8</f>
        <v>2966.554210708380</v>
      </c>
      <c r="D9" s="18">
        <f>D6+D8</f>
        <v>3025.885294922550</v>
      </c>
      <c r="E9" s="18">
        <f>E6+E8</f>
        <v>3328.473824414810</v>
      </c>
      <c r="F9" s="18">
        <f>F6+F8</f>
        <v>3261.904347926510</v>
      </c>
    </row>
    <row r="10" ht="20.05" customHeight="1">
      <c r="B10" t="s" s="10">
        <v>9</v>
      </c>
      <c r="C10" s="17">
        <f>AVERAGE('Cashflow '!F23:F26)</f>
        <v>-286.5</v>
      </c>
      <c r="D10" s="18">
        <f>C10</f>
        <v>-286.5</v>
      </c>
      <c r="E10" s="18">
        <f>D10</f>
        <v>-286.5</v>
      </c>
      <c r="F10" s="18">
        <f>E10</f>
        <v>-286.5</v>
      </c>
    </row>
    <row r="11" ht="20.05" customHeight="1">
      <c r="B11" t="s" s="10">
        <v>10</v>
      </c>
      <c r="C11" s="17">
        <f>C12+C13+C15</f>
        <v>-2680.054210708380</v>
      </c>
      <c r="D11" s="18">
        <f>D12+D13+D15</f>
        <v>-2739.385294922550</v>
      </c>
      <c r="E11" s="18">
        <f>E12+E13+E15</f>
        <v>-3041.973824414810</v>
      </c>
      <c r="F11" s="18">
        <f>F12+F13+F15</f>
        <v>-2975.404347926510</v>
      </c>
    </row>
    <row r="12" ht="20.05" customHeight="1">
      <c r="B12" t="s" s="10">
        <v>11</v>
      </c>
      <c r="C12" s="17">
        <f>-'Balance sheet'!G26/20</f>
        <v>-3323.6</v>
      </c>
      <c r="D12" s="18">
        <f>-C26/20</f>
        <v>-3157.42</v>
      </c>
      <c r="E12" s="18">
        <f>-D26/20</f>
        <v>-2999.549</v>
      </c>
      <c r="F12" s="18">
        <f>-E26/20</f>
        <v>-2849.57155</v>
      </c>
    </row>
    <row r="13" ht="20.05" customHeight="1">
      <c r="B13" t="s" s="10">
        <v>12</v>
      </c>
      <c r="C13" s="17">
        <f>IF(C21&gt;0,-C21*0.5,0)</f>
        <v>-1198.443772020860</v>
      </c>
      <c r="D13" s="18">
        <f>IF(D21&gt;0,-D21*0.5,0)</f>
        <v>-1228.109314127940</v>
      </c>
      <c r="E13" s="18">
        <f>IF(E21&gt;0,-E21*0.5,0)</f>
        <v>-1379.403578874070</v>
      </c>
      <c r="F13" s="18">
        <f>IF(F21&gt;0,-F21*0.5,0)</f>
        <v>-1346.118840629920</v>
      </c>
    </row>
    <row r="14" ht="20.05" customHeight="1">
      <c r="B14" t="s" s="10">
        <v>13</v>
      </c>
      <c r="C14" s="17">
        <f>C9+C10+C12+C13</f>
        <v>-1841.989561312480</v>
      </c>
      <c r="D14" s="18">
        <f>D9+D10+D12+D13</f>
        <v>-1646.144019205390</v>
      </c>
      <c r="E14" s="18">
        <f>E9+E10+E12+E13</f>
        <v>-1336.978754459260</v>
      </c>
      <c r="F14" s="18">
        <f>F9+F10+F12+F13</f>
        <v>-1220.286042703410</v>
      </c>
    </row>
    <row r="15" ht="20.05" customHeight="1">
      <c r="B15" t="s" s="10">
        <v>14</v>
      </c>
      <c r="C15" s="17">
        <f>-MIN(0,C14)</f>
        <v>1841.989561312480</v>
      </c>
      <c r="D15" s="18">
        <f>-MIN(C27,D14)</f>
        <v>1646.144019205390</v>
      </c>
      <c r="E15" s="18">
        <f>-MIN(D27,E14)</f>
        <v>1336.978754459260</v>
      </c>
      <c r="F15" s="18">
        <f>-MIN(E27,F14)</f>
        <v>1220.286042703410</v>
      </c>
    </row>
    <row r="16" ht="20.05" customHeight="1">
      <c r="B16" t="s" s="10">
        <v>15</v>
      </c>
      <c r="C16" s="17">
        <f>'Balance sheet'!C26</f>
        <v>11301</v>
      </c>
      <c r="D16" s="18">
        <f>C18</f>
        <v>11301</v>
      </c>
      <c r="E16" s="18">
        <f>D18</f>
        <v>11301</v>
      </c>
      <c r="F16" s="18">
        <f>E18</f>
        <v>11301</v>
      </c>
    </row>
    <row r="17" ht="20.05" customHeight="1">
      <c r="B17" t="s" s="10">
        <v>16</v>
      </c>
      <c r="C17" s="17">
        <f>C9+C10+C11</f>
        <v>0</v>
      </c>
      <c r="D17" s="18">
        <f>D9+D10+D11</f>
        <v>0</v>
      </c>
      <c r="E17" s="18">
        <f>E9+E10+E11</f>
        <v>0</v>
      </c>
      <c r="F17" s="18">
        <f>F9+F10+F11</f>
        <v>0</v>
      </c>
    </row>
    <row r="18" ht="20.05" customHeight="1">
      <c r="B18" t="s" s="10">
        <v>17</v>
      </c>
      <c r="C18" s="17">
        <f>C16+C17</f>
        <v>11301</v>
      </c>
      <c r="D18" s="18">
        <f>D16+D17</f>
        <v>11301</v>
      </c>
      <c r="E18" s="18">
        <f>E16+E17</f>
        <v>11301</v>
      </c>
      <c r="F18" s="18">
        <f>F16+F17</f>
        <v>11301</v>
      </c>
    </row>
    <row r="19" ht="20.05" customHeight="1">
      <c r="B19" t="s" s="10">
        <v>18</v>
      </c>
      <c r="C19" s="17"/>
      <c r="D19" s="18"/>
      <c r="E19" s="19"/>
      <c r="F19" s="20"/>
    </row>
    <row r="20" ht="20.05" customHeight="1">
      <c r="B20" t="s" s="10">
        <v>19</v>
      </c>
      <c r="C20" s="17">
        <f>-AVERAGE('Cashflow '!D24:D26)</f>
        <v>-569.666666666667</v>
      </c>
      <c r="D20" s="18">
        <f>C20</f>
        <v>-569.666666666667</v>
      </c>
      <c r="E20" s="18">
        <f>D20</f>
        <v>-569.666666666667</v>
      </c>
      <c r="F20" s="18">
        <f>E20</f>
        <v>-569.666666666667</v>
      </c>
    </row>
    <row r="21" ht="20.05" customHeight="1">
      <c r="B21" t="s" s="10">
        <v>18</v>
      </c>
      <c r="C21" s="17">
        <f>C6+C8+C20</f>
        <v>2396.887544041710</v>
      </c>
      <c r="D21" s="18">
        <f>D6+D8+D20</f>
        <v>2456.218628255880</v>
      </c>
      <c r="E21" s="18">
        <f>E6+E8+E20</f>
        <v>2758.807157748140</v>
      </c>
      <c r="F21" s="18">
        <f>F6+F8+F20</f>
        <v>2692.237681259840</v>
      </c>
    </row>
    <row r="22" ht="20.05" customHeight="1">
      <c r="B22" t="s" s="10">
        <v>20</v>
      </c>
      <c r="C22" s="17"/>
      <c r="D22" s="18"/>
      <c r="E22" s="19"/>
      <c r="F22" s="18"/>
    </row>
    <row r="23" ht="20.05" customHeight="1">
      <c r="B23" t="s" s="10">
        <v>21</v>
      </c>
      <c r="C23" s="17">
        <f>'Balance sheet'!E26+'Balance sheet'!F26-C10</f>
        <v>90948.5</v>
      </c>
      <c r="D23" s="18">
        <f>C23-D10</f>
        <v>91235</v>
      </c>
      <c r="E23" s="18">
        <f>D23-E10</f>
        <v>91521.5</v>
      </c>
      <c r="F23" s="18">
        <f>E23-F10</f>
        <v>91808</v>
      </c>
    </row>
    <row r="24" ht="20.05" customHeight="1">
      <c r="B24" t="s" s="10">
        <v>22</v>
      </c>
      <c r="C24" s="17">
        <f>'Balance sheet'!F26-C20</f>
        <v>11926.6666666667</v>
      </c>
      <c r="D24" s="18">
        <f>C24-D20</f>
        <v>12496.3333333334</v>
      </c>
      <c r="E24" s="18">
        <f>D24-E20</f>
        <v>13066.0000000001</v>
      </c>
      <c r="F24" s="18">
        <f>E24-F20</f>
        <v>13635.6666666668</v>
      </c>
    </row>
    <row r="25" ht="20.05" customHeight="1">
      <c r="B25" t="s" s="10">
        <v>23</v>
      </c>
      <c r="C25" s="17">
        <f>C23-C24</f>
        <v>79021.8333333333</v>
      </c>
      <c r="D25" s="18">
        <f>D23-D24</f>
        <v>78738.6666666666</v>
      </c>
      <c r="E25" s="18">
        <f>E23-E24</f>
        <v>78455.4999999999</v>
      </c>
      <c r="F25" s="18">
        <f>F23-F24</f>
        <v>78172.3333333332</v>
      </c>
    </row>
    <row r="26" ht="20.05" customHeight="1">
      <c r="B26" t="s" s="10">
        <v>11</v>
      </c>
      <c r="C26" s="17">
        <f>'Balance sheet'!G26+C12</f>
        <v>63148.4</v>
      </c>
      <c r="D26" s="18">
        <f>C26+D12</f>
        <v>59990.98</v>
      </c>
      <c r="E26" s="18">
        <f>D26+E12</f>
        <v>56991.431</v>
      </c>
      <c r="F26" s="18">
        <f>E26+F12</f>
        <v>54141.85945</v>
      </c>
    </row>
    <row r="27" ht="20.05" customHeight="1">
      <c r="B27" t="s" s="10">
        <v>14</v>
      </c>
      <c r="C27" s="17">
        <f>C15</f>
        <v>1841.989561312480</v>
      </c>
      <c r="D27" s="18">
        <f>C27+D15</f>
        <v>3488.133580517870</v>
      </c>
      <c r="E27" s="18">
        <f>D27+E15</f>
        <v>4825.112334977130</v>
      </c>
      <c r="F27" s="18">
        <f>E27+F15</f>
        <v>6045.398377680540</v>
      </c>
    </row>
    <row r="28" ht="20.05" customHeight="1">
      <c r="B28" t="s" s="10">
        <v>12</v>
      </c>
      <c r="C28" s="17">
        <f>'Balance sheet'!H26+C21+C13</f>
        <v>25331.4437720209</v>
      </c>
      <c r="D28" s="18">
        <f>C28+D13+D21</f>
        <v>26559.5530861488</v>
      </c>
      <c r="E28" s="18">
        <f>D28+E13+E21</f>
        <v>27938.9566650229</v>
      </c>
      <c r="F28" s="18">
        <f>E28+F13+F21</f>
        <v>29285.0755056528</v>
      </c>
    </row>
    <row r="29" ht="20.05" customHeight="1">
      <c r="B29" t="s" s="10">
        <v>24</v>
      </c>
      <c r="C29" s="17">
        <f>C26+C27+C28-C18-C25</f>
        <v>-0.999999999920</v>
      </c>
      <c r="D29" s="18">
        <f>D26+D27+D28-D18-D25</f>
        <v>-0.999999999930</v>
      </c>
      <c r="E29" s="18">
        <f>E26+E27+E28-E18-E25</f>
        <v>-0.999999999870</v>
      </c>
      <c r="F29" s="18">
        <f>F26+F27+F28-F18-F25</f>
        <v>-0.999999999860</v>
      </c>
    </row>
    <row r="30" ht="20.05" customHeight="1">
      <c r="B30" t="s" s="10">
        <v>25</v>
      </c>
      <c r="C30" s="17">
        <f>C18-C26-C27</f>
        <v>-53689.3895613125</v>
      </c>
      <c r="D30" s="18">
        <f>D18-D26-D27</f>
        <v>-52178.1135805179</v>
      </c>
      <c r="E30" s="18">
        <f>E18-E26-E27</f>
        <v>-50515.5433349771</v>
      </c>
      <c r="F30" s="18">
        <f>F18-F26-F27</f>
        <v>-48886.2578276805</v>
      </c>
    </row>
    <row r="31" ht="20.05" customHeight="1">
      <c r="B31" t="s" s="10">
        <v>26</v>
      </c>
      <c r="C31" s="17"/>
      <c r="D31" s="18"/>
      <c r="E31" s="18"/>
      <c r="F31" s="18"/>
    </row>
    <row r="32" ht="20.05" customHeight="1">
      <c r="B32" t="s" s="10">
        <v>27</v>
      </c>
      <c r="C32" s="17">
        <f>'Cashflow '!N26-C11</f>
        <v>50646.0542107084</v>
      </c>
      <c r="D32" s="18">
        <f>C32-D11</f>
        <v>53385.439505631</v>
      </c>
      <c r="E32" s="18">
        <f>D32-E11</f>
        <v>56427.4133300458</v>
      </c>
      <c r="F32" s="18">
        <f>E32-F11</f>
        <v>59402.8176779723</v>
      </c>
    </row>
    <row r="33" ht="20.05" customHeight="1">
      <c r="B33" t="s" s="10">
        <v>28</v>
      </c>
      <c r="C33" s="17"/>
      <c r="D33" s="18"/>
      <c r="E33" s="18"/>
      <c r="F33" s="18">
        <v>253300</v>
      </c>
    </row>
    <row r="34" ht="20.05" customHeight="1">
      <c r="B34" t="s" s="10">
        <v>29</v>
      </c>
      <c r="C34" s="17"/>
      <c r="D34" s="18"/>
      <c r="E34" s="18"/>
      <c r="F34" s="21">
        <f>F33/(F18+F25)</f>
        <v>2.83101110200433</v>
      </c>
    </row>
    <row r="35" ht="20.05" customHeight="1">
      <c r="B35" t="s" s="10">
        <v>30</v>
      </c>
      <c r="C35" s="17"/>
      <c r="D35" s="18"/>
      <c r="E35" s="18"/>
      <c r="F35" s="16">
        <f>-(C13+D13+E13+F13)/F33</f>
        <v>0.0203398164455302</v>
      </c>
    </row>
    <row r="36" ht="20.05" customHeight="1">
      <c r="B36" t="s" s="10">
        <v>31</v>
      </c>
      <c r="C36" s="17"/>
      <c r="D36" s="18"/>
      <c r="E36" s="18"/>
      <c r="F36" s="18">
        <f>SUM(C9:F10)</f>
        <v>11436.8176779723</v>
      </c>
    </row>
    <row r="37" ht="20.05" customHeight="1">
      <c r="B37" t="s" s="10">
        <v>32</v>
      </c>
      <c r="C37" s="17"/>
      <c r="D37" s="18"/>
      <c r="E37" s="18"/>
      <c r="F37" s="18">
        <f>'Balance sheet'!E26/F36</f>
        <v>6.93418416145115</v>
      </c>
    </row>
    <row r="38" ht="20.05" customHeight="1">
      <c r="B38" t="s" s="10">
        <v>26</v>
      </c>
      <c r="C38" s="17"/>
      <c r="D38" s="18"/>
      <c r="E38" s="18"/>
      <c r="F38" s="18">
        <f>F33/F36</f>
        <v>22.1477693474002</v>
      </c>
    </row>
    <row r="39" ht="20.05" customHeight="1">
      <c r="B39" t="s" s="10">
        <v>33</v>
      </c>
      <c r="C39" s="17"/>
      <c r="D39" s="18"/>
      <c r="E39" s="18"/>
      <c r="F39" s="18">
        <v>27</v>
      </c>
    </row>
    <row r="40" ht="20.05" customHeight="1">
      <c r="B40" t="s" s="10">
        <v>34</v>
      </c>
      <c r="C40" s="17"/>
      <c r="D40" s="18"/>
      <c r="E40" s="18"/>
      <c r="F40" s="18">
        <f>F36*F39</f>
        <v>308794.077305252</v>
      </c>
    </row>
    <row r="41" ht="20.05" customHeight="1">
      <c r="B41" t="s" s="10">
        <v>35</v>
      </c>
      <c r="C41" s="17"/>
      <c r="D41" s="18"/>
      <c r="E41" s="18"/>
      <c r="F41" s="18">
        <f>F33/F43</f>
        <v>4318.840579710140</v>
      </c>
    </row>
    <row r="42" ht="20.05" customHeight="1">
      <c r="B42" t="s" s="10">
        <v>36</v>
      </c>
      <c r="C42" s="17"/>
      <c r="D42" s="18"/>
      <c r="E42" s="18"/>
      <c r="F42" s="18">
        <f>F40/F41</f>
        <v>71.4992997787329</v>
      </c>
    </row>
    <row r="43" ht="20.05" customHeight="1">
      <c r="B43" t="s" s="10">
        <v>37</v>
      </c>
      <c r="C43" s="17"/>
      <c r="D43" s="18"/>
      <c r="E43" s="18"/>
      <c r="F43" s="18">
        <f>'Share price '!B18</f>
        <v>58.65</v>
      </c>
    </row>
    <row r="44" ht="20.05" customHeight="1">
      <c r="B44" t="s" s="10">
        <v>38</v>
      </c>
      <c r="C44" s="17"/>
      <c r="D44" s="18"/>
      <c r="E44" s="18"/>
      <c r="F44" s="16">
        <f>F42/F43-1</f>
        <v>0.219084395204312</v>
      </c>
    </row>
    <row r="45" ht="20.05" customHeight="1">
      <c r="B45" t="s" s="10">
        <v>39</v>
      </c>
      <c r="C45" s="17"/>
      <c r="D45" s="18"/>
      <c r="E45" s="18"/>
      <c r="F45" s="16">
        <f>'Sales'!C26/'Sales'!C22-1</f>
        <v>0.160656495607952</v>
      </c>
    </row>
    <row r="46" ht="20.05" customHeight="1">
      <c r="B46" t="s" s="10">
        <v>40</v>
      </c>
      <c r="C46" s="17"/>
      <c r="D46" s="18"/>
      <c r="E46" s="18"/>
      <c r="F46" s="16">
        <f>('Sales'!D22+'Sales'!D26+'Sales'!D23+'Sales'!D24+'Sales'!D25)/('Sales'!C22+'Sales'!C23+'Sales'!C24+'Sales'!C26+'Sales'!C25)-1</f>
        <v>-0.0229200929952211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78125" style="22" customWidth="1"/>
    <col min="2" max="7" width="11.8672" style="22" customWidth="1"/>
    <col min="8" max="16384" width="16.3516" style="22" customWidth="1"/>
  </cols>
  <sheetData>
    <row r="1" ht="38.45" customHeight="1"/>
    <row r="2" ht="27.65" customHeight="1">
      <c r="B2" t="s" s="2">
        <v>5</v>
      </c>
      <c r="C2" s="2"/>
      <c r="D2" s="2"/>
      <c r="E2" s="2"/>
      <c r="F2" s="2"/>
      <c r="G2" s="2"/>
    </row>
    <row r="3" ht="32.25" customHeight="1">
      <c r="B3" t="s" s="4">
        <v>1</v>
      </c>
      <c r="C3" t="s" s="4">
        <v>5</v>
      </c>
      <c r="D3" t="s" s="4">
        <v>33</v>
      </c>
      <c r="E3" t="s" s="4">
        <v>41</v>
      </c>
      <c r="F3" t="s" s="4">
        <v>42</v>
      </c>
      <c r="G3" t="s" s="4">
        <v>43</v>
      </c>
    </row>
    <row r="4" ht="20.25" customHeight="1">
      <c r="B4" s="23">
        <v>2016</v>
      </c>
      <c r="C4" s="24">
        <v>10282</v>
      </c>
      <c r="D4" s="25"/>
      <c r="E4" s="26"/>
      <c r="F4" s="26">
        <f>('Cashflow '!C4+'Cashflow '!D4-C4)/C4</f>
        <v>-0.777864228749271</v>
      </c>
      <c r="G4" s="26"/>
    </row>
    <row r="5" ht="20.05" customHeight="1">
      <c r="B5" s="27"/>
      <c r="C5" s="17">
        <v>11539</v>
      </c>
      <c r="D5" s="14"/>
      <c r="E5" s="16">
        <f>C5/C4-1</f>
        <v>0.122252480062245</v>
      </c>
      <c r="F5" s="16">
        <f>('Cashflow '!C5+'Cashflow '!D5-C5)/C5</f>
        <v>-0.763411040818095</v>
      </c>
      <c r="G5" s="16"/>
    </row>
    <row r="6" ht="20.05" customHeight="1">
      <c r="B6" s="27"/>
      <c r="C6" s="17">
        <v>10633</v>
      </c>
      <c r="D6" s="14"/>
      <c r="E6" s="16">
        <f>C6/C5-1</f>
        <v>-0.0785163359043245</v>
      </c>
      <c r="F6" s="16">
        <f>('Cashflow '!C6+'Cashflow '!D6-C6)/C6</f>
        <v>-0.753879431957115</v>
      </c>
      <c r="G6" s="16"/>
    </row>
    <row r="7" ht="20.05" customHeight="1">
      <c r="B7" s="27"/>
      <c r="C7" s="17">
        <v>9409</v>
      </c>
      <c r="D7" s="14"/>
      <c r="E7" s="16">
        <f>C7/C6-1</f>
        <v>-0.115113326436565</v>
      </c>
      <c r="F7" s="16">
        <f>('Cashflow '!C7+'Cashflow '!D7-C7)/C7</f>
        <v>-0.852694228929748</v>
      </c>
      <c r="G7" s="16"/>
    </row>
    <row r="8" ht="20.05" customHeight="1">
      <c r="B8" s="28">
        <v>2017</v>
      </c>
      <c r="C8" s="17">
        <v>9118</v>
      </c>
      <c r="D8" s="14"/>
      <c r="E8" s="16">
        <f>C8/C7-1</f>
        <v>-0.0309278350515464</v>
      </c>
      <c r="F8" s="16">
        <f>('Cashflow '!C8+'Cashflow '!D8-C8)/C8</f>
        <v>-0.747971046282079</v>
      </c>
      <c r="G8" s="16">
        <f>AVERAGE(F5:F8)</f>
        <v>-0.779488936996759</v>
      </c>
    </row>
    <row r="9" ht="20.05" customHeight="1">
      <c r="B9" s="27"/>
      <c r="C9" s="17">
        <v>9702</v>
      </c>
      <c r="D9" s="14"/>
      <c r="E9" s="16">
        <f>C9/C8-1</f>
        <v>0.0640491335819259</v>
      </c>
      <c r="F9" s="16">
        <f>('Cashflow '!C9+'Cashflow '!D9-C9)/C9</f>
        <v>-0.741084312512884</v>
      </c>
      <c r="G9" s="16">
        <f>AVERAGE(F6:F9)</f>
        <v>-0.773907254920457</v>
      </c>
    </row>
    <row r="10" ht="20.05" customHeight="1">
      <c r="B10" s="27"/>
      <c r="C10" s="17">
        <v>9078</v>
      </c>
      <c r="D10" s="14"/>
      <c r="E10" s="16">
        <f>C10/C9-1</f>
        <v>-0.0643166357452072</v>
      </c>
      <c r="F10" s="16">
        <f>('Cashflow '!C10+'Cashflow '!D10-C10)/C10</f>
        <v>-0.724278475435118</v>
      </c>
      <c r="G10" s="16">
        <f>AVERAGE(F7:F10)</f>
        <v>-0.7665070157899569</v>
      </c>
    </row>
    <row r="11" ht="20.05" customHeight="1">
      <c r="B11" s="27"/>
      <c r="C11" s="17">
        <v>7512</v>
      </c>
      <c r="D11" s="14"/>
      <c r="E11" s="16">
        <f>C11/C10-1</f>
        <v>-0.172504957038995</v>
      </c>
      <c r="F11" s="16">
        <f>('Cashflow '!C11+'Cashflow '!D11-C11)/C11</f>
        <v>-1.51211395101171</v>
      </c>
      <c r="G11" s="16">
        <f>AVERAGE(F8:F11)</f>
        <v>-0.931361946310448</v>
      </c>
    </row>
    <row r="12" ht="20.05" customHeight="1">
      <c r="B12" s="28">
        <v>2018</v>
      </c>
      <c r="C12" s="17">
        <v>7626</v>
      </c>
      <c r="D12" s="14"/>
      <c r="E12" s="16">
        <f>C12/C11-1</f>
        <v>0.0151757188498403</v>
      </c>
      <c r="F12" s="16">
        <f>('Cashflow '!C12+'Cashflow '!D12-C12)/C12</f>
        <v>-0.747574088644112</v>
      </c>
      <c r="G12" s="16">
        <f>AVERAGE(F9:F12)</f>
        <v>-0.931262706900956</v>
      </c>
    </row>
    <row r="13" ht="20.05" customHeight="1">
      <c r="B13" s="27"/>
      <c r="C13" s="17">
        <v>9421</v>
      </c>
      <c r="D13" s="14"/>
      <c r="E13" s="16">
        <f>C13/C12-1</f>
        <v>0.235378966692893</v>
      </c>
      <c r="F13" s="16">
        <f>('Cashflow '!C13+'Cashflow '!D13-C13)/C13</f>
        <v>-0.686445175671372</v>
      </c>
      <c r="G13" s="16">
        <f>AVERAGE(F10:F13)</f>
        <v>-0.917602922690578</v>
      </c>
    </row>
    <row r="14" ht="20.05" customHeight="1">
      <c r="B14" s="27"/>
      <c r="C14" s="17">
        <v>8775</v>
      </c>
      <c r="D14" s="14"/>
      <c r="E14" s="16">
        <f>C14/C13-1</f>
        <v>-0.06857021547606409</v>
      </c>
      <c r="F14" s="16">
        <f>('Cashflow '!C14+'Cashflow '!D14-C14)/C14</f>
        <v>-0.720911680911681</v>
      </c>
      <c r="G14" s="16">
        <f>AVERAGE(F11:F14)</f>
        <v>-0.916761224059719</v>
      </c>
    </row>
    <row r="15" ht="20.05" customHeight="1">
      <c r="B15" s="27"/>
      <c r="C15" s="17">
        <v>7806</v>
      </c>
      <c r="D15" s="14"/>
      <c r="E15" s="16">
        <f>C15/C14-1</f>
        <v>-0.11042735042735</v>
      </c>
      <c r="F15" s="16">
        <f>('Cashflow '!C15+'Cashflow '!D15-C15)/C15</f>
        <v>-0.802843966179862</v>
      </c>
      <c r="G15" s="16">
        <f>AVERAGE(F12:F15)</f>
        <v>-0.739443727851757</v>
      </c>
    </row>
    <row r="16" ht="20.05" customHeight="1">
      <c r="B16" s="28">
        <v>2019</v>
      </c>
      <c r="C16" s="17">
        <v>8694</v>
      </c>
      <c r="D16" s="14"/>
      <c r="E16" s="16">
        <f>C16/C15-1</f>
        <v>0.113758647194466</v>
      </c>
      <c r="F16" s="16">
        <f>('Cashflow '!C16+'Cashflow '!D16-C16)/C16</f>
        <v>-0.7389003910743041</v>
      </c>
      <c r="G16" s="16">
        <f>AVERAGE(F13:F16)</f>
        <v>-0.737275303459305</v>
      </c>
    </row>
    <row r="17" ht="20.05" customHeight="1">
      <c r="B17" s="27"/>
      <c r="C17" s="17">
        <v>9997</v>
      </c>
      <c r="D17" s="14"/>
      <c r="E17" s="16">
        <f>C17/C16-1</f>
        <v>0.149873475960432</v>
      </c>
      <c r="F17" s="16">
        <f>('Cashflow '!C17+'Cashflow '!D17-C17)/C17</f>
        <v>-0.326597979393818</v>
      </c>
      <c r="G17" s="16">
        <f>AVERAGE(F14:F17)</f>
        <v>-0.647313504389916</v>
      </c>
    </row>
    <row r="18" ht="20.05" customHeight="1">
      <c r="B18" s="27"/>
      <c r="C18" s="17">
        <v>9507</v>
      </c>
      <c r="D18" s="14"/>
      <c r="E18" s="16">
        <f>C18/C17-1</f>
        <v>-0.0490147044113234</v>
      </c>
      <c r="F18" s="16">
        <f>('Cashflow '!C18+'Cashflow '!D18-C18)/C18</f>
        <v>-1.14221100241927</v>
      </c>
      <c r="G18" s="16">
        <f>AVERAGE(F15:F18)</f>
        <v>-0.752638334766814</v>
      </c>
    </row>
    <row r="19" ht="20.05" customHeight="1">
      <c r="B19" s="27"/>
      <c r="C19" s="17">
        <v>9068</v>
      </c>
      <c r="D19" s="14"/>
      <c r="E19" s="16">
        <f>C19/C18-1</f>
        <v>-0.046176501525192</v>
      </c>
      <c r="F19" s="16">
        <f>('Cashflow '!C19+'Cashflow '!D19-C19)/C19</f>
        <v>-0.72926775474195</v>
      </c>
      <c r="G19" s="16">
        <f>AVERAGE(F16:F19)</f>
        <v>-0.734244281907336</v>
      </c>
    </row>
    <row r="20" ht="20.05" customHeight="1">
      <c r="B20" s="28">
        <v>2020</v>
      </c>
      <c r="C20" s="17">
        <v>8601</v>
      </c>
      <c r="D20" s="14"/>
      <c r="E20" s="16">
        <f>C20/C19-1</f>
        <v>-0.0514997794441994</v>
      </c>
      <c r="F20" s="16">
        <f>('Cashflow '!C20+'Cashflow '!D20-C20)/C20</f>
        <v>-0.729682595047088</v>
      </c>
      <c r="G20" s="16">
        <f>AVERAGE(F17:F20)</f>
        <v>-0.731939832900532</v>
      </c>
    </row>
    <row r="21" ht="20.05" customHeight="1">
      <c r="B21" s="27"/>
      <c r="C21" s="17">
        <v>7150</v>
      </c>
      <c r="D21" s="14"/>
      <c r="E21" s="16">
        <f>C21/C20-1</f>
        <v>-0.168701313800721</v>
      </c>
      <c r="F21" s="16">
        <f>('Cashflow '!C21+'Cashflow '!D21-C21)/C21</f>
        <v>-0.694125874125874</v>
      </c>
      <c r="G21" s="16">
        <f>AVERAGE(F18:F21)</f>
        <v>-0.823821806583546</v>
      </c>
    </row>
    <row r="22" ht="20.05" customHeight="1">
      <c r="B22" s="27"/>
      <c r="C22" s="17">
        <v>8652</v>
      </c>
      <c r="D22" s="14">
        <v>8652</v>
      </c>
      <c r="E22" s="16">
        <f>C22/C21-1</f>
        <v>0.21006993006993</v>
      </c>
      <c r="F22" s="16">
        <f>('Cashflow '!C22+'Cashflow '!D22-C22)/C22</f>
        <v>-0.698335644937587</v>
      </c>
      <c r="G22" s="16">
        <f>AVERAGE(F19:F22)</f>
        <v>-0.712852967213125</v>
      </c>
    </row>
    <row r="23" ht="20.05" customHeight="1">
      <c r="B23" s="27"/>
      <c r="C23" s="17">
        <v>8611</v>
      </c>
      <c r="D23" s="14">
        <v>8219.4</v>
      </c>
      <c r="E23" s="16">
        <f>C23/C22-1</f>
        <v>-0.00473878871937124</v>
      </c>
      <c r="F23" s="16">
        <f>('Cashflow '!C23+'Cashflow '!D23-C23)/C23</f>
        <v>-0.76402276158402</v>
      </c>
      <c r="G23" s="16">
        <f>AVERAGE(F20:F23)</f>
        <v>-0.7215417189236421</v>
      </c>
    </row>
    <row r="24" ht="20.05" customHeight="1">
      <c r="B24" s="28">
        <v>2021</v>
      </c>
      <c r="C24" s="17">
        <v>9020</v>
      </c>
      <c r="D24" s="14">
        <v>9041.34</v>
      </c>
      <c r="E24" s="16">
        <f>C24/C23-1</f>
        <v>0.0474973870630589</v>
      </c>
      <c r="F24" s="16">
        <f>('Cashflow '!C24+'Cashflow '!D24-C24)/C24</f>
        <v>-0.6659645232815961</v>
      </c>
      <c r="G24" s="16">
        <f>AVERAGE(F21:F24)</f>
        <v>-0.705612200982269</v>
      </c>
    </row>
    <row r="25" ht="20.05" customHeight="1">
      <c r="B25" s="27"/>
      <c r="C25" s="17">
        <v>10129</v>
      </c>
      <c r="D25" s="14">
        <v>9651.4</v>
      </c>
      <c r="E25" s="16">
        <f>C25/C24-1</f>
        <v>0.122949002217295</v>
      </c>
      <c r="F25" s="16">
        <f>('Cashflow '!C25+'Cashflow '!D25-C25)/C25</f>
        <v>-0.708757034258071</v>
      </c>
      <c r="G25" s="16">
        <f>AVERAGE(F22:F25)</f>
        <v>-0.709269991015319</v>
      </c>
    </row>
    <row r="26" ht="20.05" customHeight="1">
      <c r="B26" s="27"/>
      <c r="C26" s="29">
        <v>10042</v>
      </c>
      <c r="D26" s="14">
        <v>9825.129999999999</v>
      </c>
      <c r="E26" s="16">
        <f>C26/C25-1</f>
        <v>-0.00858919932866028</v>
      </c>
      <c r="F26" s="16">
        <f>('Cashflow '!C26+'Cashflow '!D26-C26)/C26</f>
        <v>-0.691296554471221</v>
      </c>
      <c r="G26" s="16">
        <f>AVERAGE(F23:F26)</f>
        <v>-0.707510218398727</v>
      </c>
    </row>
    <row r="27" ht="20.05" customHeight="1">
      <c r="B27" s="27"/>
      <c r="C27" s="30"/>
      <c r="D27" s="14">
        <f>'Model'!C6</f>
        <v>10142.42</v>
      </c>
      <c r="E27" s="12"/>
      <c r="F27" s="12"/>
      <c r="G27" s="16">
        <f>AVERAGE('Model'!C7)</f>
        <v>-0.707510218398727</v>
      </c>
    </row>
    <row r="28" ht="20.05" customHeight="1">
      <c r="B28" s="28">
        <v>2022</v>
      </c>
      <c r="C28" s="30"/>
      <c r="D28" s="14">
        <f>'Model'!D6</f>
        <v>10345.2684</v>
      </c>
      <c r="E28" s="12"/>
      <c r="F28" s="12"/>
      <c r="G28" s="16"/>
    </row>
    <row r="29" ht="20.05" customHeight="1">
      <c r="B29" s="27"/>
      <c r="C29" s="30"/>
      <c r="D29" s="14">
        <f>'Model'!E6</f>
        <v>11379.79524</v>
      </c>
      <c r="E29" s="12"/>
      <c r="F29" s="12"/>
      <c r="G29" s="16"/>
    </row>
    <row r="30" ht="20.05" customHeight="1">
      <c r="B30" s="27"/>
      <c r="C30" s="30"/>
      <c r="D30" s="14">
        <f>'Model'!F6</f>
        <v>11152.1993352</v>
      </c>
      <c r="E30" s="12"/>
      <c r="F30" s="12"/>
      <c r="G30" s="16"/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N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1406" style="31" customWidth="1"/>
    <col min="2" max="14" width="9.75781" style="31" customWidth="1"/>
    <col min="15" max="16384" width="16.3516" style="31" customWidth="1"/>
  </cols>
  <sheetData>
    <row r="1" ht="21.1" customHeight="1"/>
    <row r="2" ht="27.65" customHeight="1">
      <c r="B2" t="s" s="2">
        <v>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4">
        <v>1</v>
      </c>
      <c r="C3" t="s" s="4">
        <v>44</v>
      </c>
      <c r="D3" t="s" s="4">
        <v>19</v>
      </c>
      <c r="E3" t="s" s="4">
        <v>45</v>
      </c>
      <c r="F3" t="s" s="4">
        <v>46</v>
      </c>
      <c r="G3" t="s" s="4">
        <v>8</v>
      </c>
      <c r="H3" t="s" s="4">
        <v>9</v>
      </c>
      <c r="I3" t="s" s="4">
        <v>11</v>
      </c>
      <c r="J3" t="s" s="4">
        <v>12</v>
      </c>
      <c r="K3" t="s" s="4">
        <v>10</v>
      </c>
      <c r="L3" t="s" s="4">
        <v>47</v>
      </c>
      <c r="M3" t="s" s="4">
        <v>31</v>
      </c>
      <c r="N3" t="s" s="4">
        <v>27</v>
      </c>
    </row>
    <row r="4" ht="20.25" customHeight="1">
      <c r="B4" s="23">
        <v>2016</v>
      </c>
      <c r="C4" s="24">
        <v>1493</v>
      </c>
      <c r="D4" s="32">
        <v>791</v>
      </c>
      <c r="E4" s="32">
        <f>G4-D4-C4</f>
        <v>-1680</v>
      </c>
      <c r="F4" s="32">
        <v>-536</v>
      </c>
      <c r="G4" s="32">
        <v>604</v>
      </c>
      <c r="H4" s="32">
        <v>348</v>
      </c>
      <c r="I4" s="32"/>
      <c r="J4" s="32"/>
      <c r="K4" s="32">
        <v>399</v>
      </c>
      <c r="L4" s="32">
        <f>F4+G4</f>
        <v>68</v>
      </c>
      <c r="M4" s="32"/>
      <c r="N4" s="32">
        <f>-K4</f>
        <v>-399</v>
      </c>
    </row>
    <row r="5" ht="20.05" customHeight="1">
      <c r="B5" s="27"/>
      <c r="C5" s="17">
        <v>3460</v>
      </c>
      <c r="D5" s="18">
        <v>-730</v>
      </c>
      <c r="E5" s="18">
        <f>G5-D5-C5</f>
        <v>486</v>
      </c>
      <c r="F5" s="18">
        <v>-549</v>
      </c>
      <c r="G5" s="18">
        <v>3216</v>
      </c>
      <c r="H5" s="18">
        <v>-1285</v>
      </c>
      <c r="I5" s="18"/>
      <c r="J5" s="18"/>
      <c r="K5" s="18">
        <v>-1182</v>
      </c>
      <c r="L5" s="18">
        <f>F5+G5</f>
        <v>2667</v>
      </c>
      <c r="M5" s="18"/>
      <c r="N5" s="18">
        <f>-K5+N4</f>
        <v>783</v>
      </c>
    </row>
    <row r="6" ht="20.05" customHeight="1">
      <c r="B6" s="27"/>
      <c r="C6" s="17">
        <v>1050</v>
      </c>
      <c r="D6" s="18">
        <v>1567</v>
      </c>
      <c r="E6" s="18">
        <f>G6-D6-C6</f>
        <v>286</v>
      </c>
      <c r="F6" s="18">
        <v>-476</v>
      </c>
      <c r="G6" s="18">
        <v>2903</v>
      </c>
      <c r="H6" s="18">
        <v>-396</v>
      </c>
      <c r="I6" s="18"/>
      <c r="J6" s="18"/>
      <c r="K6" s="18">
        <v>-1000</v>
      </c>
      <c r="L6" s="18">
        <f>F6+G6</f>
        <v>2427</v>
      </c>
      <c r="M6" s="18"/>
      <c r="N6" s="18">
        <f>-K6+N5</f>
        <v>1783</v>
      </c>
    </row>
    <row r="7" ht="20.05" customHeight="1">
      <c r="B7" s="27"/>
      <c r="C7" s="17">
        <v>547</v>
      </c>
      <c r="D7" s="18">
        <v>839</v>
      </c>
      <c r="E7" s="18">
        <f>G7-D7-C7</f>
        <v>687</v>
      </c>
      <c r="F7" s="18">
        <v>-701</v>
      </c>
      <c r="G7" s="18">
        <v>2073</v>
      </c>
      <c r="H7" s="18">
        <v>334</v>
      </c>
      <c r="I7" s="18"/>
      <c r="J7" s="18"/>
      <c r="K7" s="18">
        <v>-4762</v>
      </c>
      <c r="L7" s="18">
        <f>F7+G7</f>
        <v>1372</v>
      </c>
      <c r="M7" s="18"/>
      <c r="N7" s="18">
        <f>-K7+N6</f>
        <v>6545</v>
      </c>
    </row>
    <row r="8" ht="20.05" customHeight="1">
      <c r="B8" s="28">
        <v>2017</v>
      </c>
      <c r="C8" s="17">
        <v>1184</v>
      </c>
      <c r="D8" s="18">
        <v>1114</v>
      </c>
      <c r="E8" s="18">
        <f>G8-D8-C8</f>
        <v>-1510</v>
      </c>
      <c r="F8" s="18">
        <v>-442</v>
      </c>
      <c r="G8" s="18">
        <v>788</v>
      </c>
      <c r="H8" s="18">
        <v>1039</v>
      </c>
      <c r="I8" s="18"/>
      <c r="J8" s="18"/>
      <c r="K8" s="18">
        <v>1535</v>
      </c>
      <c r="L8" s="18">
        <f>F8+G8</f>
        <v>346</v>
      </c>
      <c r="M8" s="18">
        <f>AVERAGE(L5:L8)</f>
        <v>1703</v>
      </c>
      <c r="N8" s="18">
        <f>-K8+N7</f>
        <v>5010</v>
      </c>
    </row>
    <row r="9" ht="20.05" customHeight="1">
      <c r="B9" s="27"/>
      <c r="C9" s="17">
        <v>1372</v>
      </c>
      <c r="D9" s="18">
        <v>1140</v>
      </c>
      <c r="E9" s="18">
        <f>G9-D9-C9</f>
        <v>91</v>
      </c>
      <c r="F9" s="18">
        <v>-390</v>
      </c>
      <c r="G9" s="18">
        <v>2603</v>
      </c>
      <c r="H9" s="18">
        <v>-2263</v>
      </c>
      <c r="I9" s="18"/>
      <c r="J9" s="18"/>
      <c r="K9" s="18">
        <v>-738</v>
      </c>
      <c r="L9" s="18">
        <f>F9+G9</f>
        <v>2213</v>
      </c>
      <c r="M9" s="18">
        <f>AVERAGE(L6:L9)</f>
        <v>1589.5</v>
      </c>
      <c r="N9" s="18">
        <f>-K9+N8</f>
        <v>5748</v>
      </c>
    </row>
    <row r="10" ht="20.05" customHeight="1">
      <c r="B10" s="27"/>
      <c r="C10" s="17">
        <v>1444</v>
      </c>
      <c r="D10" s="18">
        <v>1059</v>
      </c>
      <c r="E10" s="18">
        <f>G10-D10-C10</f>
        <v>24</v>
      </c>
      <c r="F10" s="18">
        <v>-362</v>
      </c>
      <c r="G10" s="18">
        <v>2527</v>
      </c>
      <c r="H10" s="18">
        <v>1468</v>
      </c>
      <c r="I10" s="18"/>
      <c r="J10" s="18"/>
      <c r="K10" s="18">
        <v>-3296</v>
      </c>
      <c r="L10" s="18">
        <f>F10+G10</f>
        <v>2165</v>
      </c>
      <c r="M10" s="18">
        <f>AVERAGE(L7:L10)</f>
        <v>1524</v>
      </c>
      <c r="N10" s="18">
        <f>-K10+N9</f>
        <v>9044</v>
      </c>
    </row>
    <row r="11" ht="20.05" customHeight="1">
      <c r="B11" s="27"/>
      <c r="C11" s="17">
        <v>-2818</v>
      </c>
      <c r="D11" s="18">
        <v>-1029</v>
      </c>
      <c r="E11" s="18">
        <f>G11-D11-C11</f>
        <v>4924</v>
      </c>
      <c r="F11" s="18">
        <v>-481</v>
      </c>
      <c r="G11" s="18">
        <v>1077</v>
      </c>
      <c r="H11" s="18">
        <v>-2626</v>
      </c>
      <c r="I11" s="18"/>
      <c r="J11" s="18"/>
      <c r="K11" s="18">
        <v>-4910</v>
      </c>
      <c r="L11" s="18">
        <f>F11+G11</f>
        <v>596</v>
      </c>
      <c r="M11" s="18">
        <f>AVERAGE(L8:L11)</f>
        <v>1330</v>
      </c>
      <c r="N11" s="18">
        <f>-K11+N10</f>
        <v>13954</v>
      </c>
    </row>
    <row r="12" ht="20.05" customHeight="1">
      <c r="B12" s="28">
        <v>2018</v>
      </c>
      <c r="C12" s="17">
        <v>1327</v>
      </c>
      <c r="D12" s="18">
        <v>598</v>
      </c>
      <c r="E12" s="18">
        <f>G12-D12-C12</f>
        <v>-1312</v>
      </c>
      <c r="F12" s="18">
        <v>-274</v>
      </c>
      <c r="G12" s="18">
        <v>613</v>
      </c>
      <c r="H12" s="18">
        <v>1321</v>
      </c>
      <c r="I12" s="18"/>
      <c r="J12" s="18"/>
      <c r="K12" s="18">
        <v>284</v>
      </c>
      <c r="L12" s="18">
        <f>F12+G12</f>
        <v>339</v>
      </c>
      <c r="M12" s="18">
        <f>AVERAGE(L9:L12)</f>
        <v>1328.25</v>
      </c>
      <c r="N12" s="18">
        <f>-K12+N11</f>
        <v>13670</v>
      </c>
    </row>
    <row r="13" ht="20.05" customHeight="1">
      <c r="B13" s="27"/>
      <c r="C13" s="17">
        <v>2404</v>
      </c>
      <c r="D13" s="18">
        <v>550</v>
      </c>
      <c r="E13" s="18">
        <f>G13-D13-C13</f>
        <v>-881</v>
      </c>
      <c r="F13" s="18">
        <v>-415</v>
      </c>
      <c r="G13" s="18">
        <v>2073</v>
      </c>
      <c r="H13" s="18">
        <v>933</v>
      </c>
      <c r="I13" s="18"/>
      <c r="J13" s="18"/>
      <c r="K13" s="18">
        <v>-3119</v>
      </c>
      <c r="L13" s="18">
        <f>F13+G13</f>
        <v>1658</v>
      </c>
      <c r="M13" s="18">
        <f>AVERAGE(L10:L13)</f>
        <v>1189.5</v>
      </c>
      <c r="N13" s="18">
        <f>-K13+N12</f>
        <v>16789</v>
      </c>
    </row>
    <row r="14" ht="20.05" customHeight="1">
      <c r="B14" s="27"/>
      <c r="C14" s="17">
        <v>1818</v>
      </c>
      <c r="D14" s="18">
        <v>631</v>
      </c>
      <c r="E14" s="18">
        <f>G14-D14-C14</f>
        <v>555</v>
      </c>
      <c r="F14" s="18">
        <v>-359</v>
      </c>
      <c r="G14" s="18">
        <v>3004</v>
      </c>
      <c r="H14" s="18">
        <v>1854</v>
      </c>
      <c r="I14" s="18"/>
      <c r="J14" s="18"/>
      <c r="K14" s="18">
        <v>-3548</v>
      </c>
      <c r="L14" s="18">
        <f>F14+G14</f>
        <v>2645</v>
      </c>
      <c r="M14" s="18">
        <f>AVERAGE(L11:L14)</f>
        <v>1309.5</v>
      </c>
      <c r="N14" s="18">
        <f>-K14+N13</f>
        <v>20337</v>
      </c>
    </row>
    <row r="15" ht="20.05" customHeight="1">
      <c r="B15" s="27"/>
      <c r="C15" s="17">
        <v>927</v>
      </c>
      <c r="D15" s="18">
        <v>612</v>
      </c>
      <c r="E15" s="18">
        <f>G15-D15-C15</f>
        <v>398</v>
      </c>
      <c r="F15" s="18">
        <v>-500</v>
      </c>
      <c r="G15" s="18">
        <v>1937</v>
      </c>
      <c r="H15" s="18">
        <v>1819</v>
      </c>
      <c r="I15" s="18"/>
      <c r="J15" s="18"/>
      <c r="K15" s="18">
        <v>-3964</v>
      </c>
      <c r="L15" s="18">
        <f>F15+G15</f>
        <v>1437</v>
      </c>
      <c r="M15" s="18">
        <f>AVERAGE(L12:L15)</f>
        <v>1519.75</v>
      </c>
      <c r="N15" s="18">
        <f>-K15+N14</f>
        <v>24301</v>
      </c>
    </row>
    <row r="16" ht="20.05" customHeight="1">
      <c r="B16" s="28">
        <v>2019</v>
      </c>
      <c r="C16" s="17">
        <v>1703</v>
      </c>
      <c r="D16" s="18">
        <v>567</v>
      </c>
      <c r="E16" s="18">
        <f>G16-D16-C16</f>
        <v>-1482</v>
      </c>
      <c r="F16" s="18">
        <v>-364</v>
      </c>
      <c r="G16" s="18">
        <v>788</v>
      </c>
      <c r="H16" s="18">
        <v>-4459</v>
      </c>
      <c r="I16" s="18"/>
      <c r="J16" s="18"/>
      <c r="K16" s="18">
        <v>421</v>
      </c>
      <c r="L16" s="18">
        <f>F16+G16</f>
        <v>424</v>
      </c>
      <c r="M16" s="18">
        <f>AVERAGE(L13:L16)</f>
        <v>1541</v>
      </c>
      <c r="N16" s="18">
        <f>-K16+N15</f>
        <v>23880</v>
      </c>
    </row>
    <row r="17" ht="20.05" customHeight="1">
      <c r="B17" s="27"/>
      <c r="C17" s="17">
        <v>2628</v>
      </c>
      <c r="D17" s="18">
        <v>4104</v>
      </c>
      <c r="E17" s="18">
        <f>G17-D17-C17</f>
        <v>-3019</v>
      </c>
      <c r="F17" s="18">
        <v>-403</v>
      </c>
      <c r="G17" s="18">
        <v>3713</v>
      </c>
      <c r="H17" s="18">
        <v>-903</v>
      </c>
      <c r="I17" s="18"/>
      <c r="J17" s="18"/>
      <c r="K17" s="18">
        <v>-1853</v>
      </c>
      <c r="L17" s="18">
        <f>F17+G17</f>
        <v>3310</v>
      </c>
      <c r="M17" s="18">
        <f>AVERAGE(L14:L17)</f>
        <v>1954</v>
      </c>
      <c r="N17" s="18">
        <f>-K17+N16</f>
        <v>25733</v>
      </c>
    </row>
    <row r="18" ht="20.05" customHeight="1">
      <c r="B18" s="27"/>
      <c r="C18" s="17">
        <v>2589</v>
      </c>
      <c r="D18" s="18">
        <v>-3941</v>
      </c>
      <c r="E18" s="18">
        <f>G18-D18-C18</f>
        <v>4622</v>
      </c>
      <c r="F18" s="18">
        <v>-439</v>
      </c>
      <c r="G18" s="18">
        <v>3270</v>
      </c>
      <c r="H18" s="18">
        <v>1461</v>
      </c>
      <c r="I18" s="18"/>
      <c r="J18" s="18"/>
      <c r="K18" s="18">
        <v>-3905</v>
      </c>
      <c r="L18" s="18">
        <f>F18+G18</f>
        <v>2831</v>
      </c>
      <c r="M18" s="18">
        <f>AVERAGE(L15:L18)</f>
        <v>2000.5</v>
      </c>
      <c r="N18" s="18">
        <f>-K18+N17</f>
        <v>29638</v>
      </c>
    </row>
    <row r="19" ht="20.05" customHeight="1">
      <c r="B19" s="27"/>
      <c r="C19" s="17">
        <v>2065</v>
      </c>
      <c r="D19" s="18">
        <v>390</v>
      </c>
      <c r="E19" s="18">
        <f>G19-D19-C19</f>
        <v>245</v>
      </c>
      <c r="F19" s="18">
        <v>-848</v>
      </c>
      <c r="G19" s="18">
        <v>2700</v>
      </c>
      <c r="H19" s="18">
        <v>-75</v>
      </c>
      <c r="I19" s="18"/>
      <c r="J19" s="18"/>
      <c r="K19" s="18">
        <v>-3667</v>
      </c>
      <c r="L19" s="18">
        <f>F19+G19</f>
        <v>1852</v>
      </c>
      <c r="M19" s="18">
        <f>AVERAGE(L16:L19)</f>
        <v>2104.25</v>
      </c>
      <c r="N19" s="18">
        <f>-K19+N18</f>
        <v>33305</v>
      </c>
    </row>
    <row r="20" ht="20.05" customHeight="1">
      <c r="B20" s="28">
        <v>2020</v>
      </c>
      <c r="C20" s="17">
        <v>2795</v>
      </c>
      <c r="D20" s="18">
        <v>-470</v>
      </c>
      <c r="E20" s="18">
        <f>G20-D20-C20</f>
        <v>-1769</v>
      </c>
      <c r="F20" s="18">
        <v>-327</v>
      </c>
      <c r="G20" s="18">
        <v>556</v>
      </c>
      <c r="H20" s="18">
        <v>-1084</v>
      </c>
      <c r="I20" s="18"/>
      <c r="J20" s="18"/>
      <c r="K20" s="18">
        <v>7810</v>
      </c>
      <c r="L20" s="18">
        <f>F20+G20</f>
        <v>229</v>
      </c>
      <c r="M20" s="18">
        <f>AVERAGE(L17:L20)</f>
        <v>2055.5</v>
      </c>
      <c r="N20" s="18">
        <f>-K20+N19</f>
        <v>25495</v>
      </c>
    </row>
    <row r="21" ht="20.05" customHeight="1">
      <c r="B21" s="27"/>
      <c r="C21" s="17">
        <v>1759</v>
      </c>
      <c r="D21" s="18">
        <v>428</v>
      </c>
      <c r="E21" s="18">
        <f>G21-D21-C21</f>
        <v>43</v>
      </c>
      <c r="F21" s="18">
        <v>-209</v>
      </c>
      <c r="G21" s="18">
        <v>2230</v>
      </c>
      <c r="H21" s="18">
        <v>-5883</v>
      </c>
      <c r="I21" s="18"/>
      <c r="J21" s="18"/>
      <c r="K21" s="18">
        <v>235</v>
      </c>
      <c r="L21" s="18">
        <f>F21+G21</f>
        <v>2021</v>
      </c>
      <c r="M21" s="18">
        <f>AVERAGE(L18:L21)</f>
        <v>1733.25</v>
      </c>
      <c r="N21" s="18">
        <f>-K21+N20</f>
        <v>25260</v>
      </c>
    </row>
    <row r="22" ht="20.05" customHeight="1">
      <c r="B22" s="27"/>
      <c r="C22" s="17">
        <v>1740</v>
      </c>
      <c r="D22" s="18">
        <v>870</v>
      </c>
      <c r="E22" s="18">
        <f>G22-D22-C22</f>
        <v>824</v>
      </c>
      <c r="F22" s="18">
        <v>-223</v>
      </c>
      <c r="G22" s="18">
        <v>3434</v>
      </c>
      <c r="H22" s="18">
        <v>-105</v>
      </c>
      <c r="I22" s="18"/>
      <c r="J22" s="18"/>
      <c r="K22" s="18">
        <v>-2072</v>
      </c>
      <c r="L22" s="18">
        <f>F22+G22</f>
        <v>3211</v>
      </c>
      <c r="M22" s="18">
        <f>AVERAGE(L19:L22)</f>
        <v>1828.25</v>
      </c>
      <c r="N22" s="18">
        <f>-K22+N21</f>
        <v>27332</v>
      </c>
    </row>
    <row r="23" ht="20.05" customHeight="1">
      <c r="B23" s="27"/>
      <c r="C23" s="17">
        <v>1474</v>
      </c>
      <c r="D23" s="18">
        <v>558</v>
      </c>
      <c r="E23" s="18">
        <f>G23-D23-C23</f>
        <v>1592</v>
      </c>
      <c r="F23" s="18">
        <v>-418</v>
      </c>
      <c r="G23" s="18">
        <v>3624</v>
      </c>
      <c r="H23" s="18">
        <v>5595</v>
      </c>
      <c r="I23" s="18"/>
      <c r="J23" s="18"/>
      <c r="K23" s="18">
        <v>-14043</v>
      </c>
      <c r="L23" s="18">
        <f>F23+G23</f>
        <v>3206</v>
      </c>
      <c r="M23" s="18">
        <f>AVERAGE(L20:L23)</f>
        <v>2166.75</v>
      </c>
      <c r="N23" s="18">
        <f>-K23+N22</f>
        <v>41375</v>
      </c>
    </row>
    <row r="24" ht="20.05" customHeight="1">
      <c r="B24" s="28">
        <v>2021</v>
      </c>
      <c r="C24" s="17">
        <v>2255</v>
      </c>
      <c r="D24" s="18">
        <f>366+58+377-250-19+69+157</f>
        <v>758</v>
      </c>
      <c r="E24" s="18">
        <f>G24-D24-C24</f>
        <v>-1377</v>
      </c>
      <c r="F24" s="18">
        <v>-216</v>
      </c>
      <c r="G24" s="18">
        <v>1636</v>
      </c>
      <c r="H24" s="18">
        <v>-281</v>
      </c>
      <c r="I24" s="18"/>
      <c r="J24" s="18"/>
      <c r="K24" s="18">
        <v>364</v>
      </c>
      <c r="L24" s="18">
        <f>F24+G24</f>
        <v>1420</v>
      </c>
      <c r="M24" s="18">
        <f>AVERAGE(L21:L24)</f>
        <v>2464.5</v>
      </c>
      <c r="N24" s="18">
        <f>-K24+N23</f>
        <v>41011</v>
      </c>
    </row>
    <row r="25" ht="20.05" customHeight="1">
      <c r="B25" s="27"/>
      <c r="C25" s="17">
        <v>2624</v>
      </c>
      <c r="D25" s="18">
        <v>326</v>
      </c>
      <c r="E25" s="18">
        <f>G25-D25-C25</f>
        <v>939</v>
      </c>
      <c r="F25" s="18">
        <v>-234</v>
      </c>
      <c r="G25" s="18">
        <v>3889</v>
      </c>
      <c r="H25" s="18">
        <v>2034</v>
      </c>
      <c r="I25" s="18"/>
      <c r="J25" s="18"/>
      <c r="K25" s="18">
        <v>-5326</v>
      </c>
      <c r="L25" s="18">
        <f>F25+G25</f>
        <v>3655</v>
      </c>
      <c r="M25" s="18">
        <f>AVERAGE(L22:L25)</f>
        <v>2873</v>
      </c>
      <c r="N25" s="18">
        <f>-K25+N24</f>
        <v>46337</v>
      </c>
    </row>
    <row r="26" ht="20.05" customHeight="1">
      <c r="B26" s="27"/>
      <c r="C26" s="17">
        <f>7354-C25-C24</f>
        <v>2475</v>
      </c>
      <c r="D26" s="18">
        <f>1111+236+726-621-5-498+243+517-D25-D24</f>
        <v>625</v>
      </c>
      <c r="E26" s="18">
        <f>G26-D26-C26</f>
        <v>606</v>
      </c>
      <c r="F26" s="18">
        <f>-728-F25-F24</f>
        <v>-278</v>
      </c>
      <c r="G26" s="18">
        <f>9231-G25-G24</f>
        <v>3706</v>
      </c>
      <c r="H26" s="18">
        <f>1919-H25-H24</f>
        <v>166</v>
      </c>
      <c r="I26" s="18">
        <f>11848-13037</f>
        <v>-1189</v>
      </c>
      <c r="J26" s="18">
        <f>-6591-I26</f>
        <v>-5402</v>
      </c>
      <c r="K26" s="18">
        <f>-6591-K25-K24</f>
        <v>-1629</v>
      </c>
      <c r="L26" s="18">
        <f>F26+G26</f>
        <v>3428</v>
      </c>
      <c r="M26" s="18">
        <f>AVERAGE(L23:L26)</f>
        <v>2927.25</v>
      </c>
      <c r="N26" s="18">
        <f>-K26+N25</f>
        <v>47966</v>
      </c>
    </row>
    <row r="27" ht="20.05" customHeight="1">
      <c r="B27" s="27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>
        <f>SUM('Model'!C9:F10)/4</f>
        <v>2859.204419493060</v>
      </c>
      <c r="N27" s="18">
        <f>'Model'!F32</f>
        <v>59402.8176779723</v>
      </c>
    </row>
  </sheetData>
  <mergeCells count="1">
    <mergeCell ref="B2:N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17188" style="33" customWidth="1"/>
    <col min="2" max="11" width="9.85156" style="33" customWidth="1"/>
    <col min="12" max="16384" width="16.3516" style="33" customWidth="1"/>
  </cols>
  <sheetData>
    <row r="1" ht="12" customHeight="1"/>
    <row r="2" ht="27.65" customHeight="1">
      <c r="B2" t="s" s="2">
        <v>20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48</v>
      </c>
      <c r="D3" t="s" s="4">
        <v>49</v>
      </c>
      <c r="E3" t="s" s="4">
        <v>50</v>
      </c>
      <c r="F3" t="s" s="4">
        <v>22</v>
      </c>
      <c r="G3" t="s" s="4">
        <v>11</v>
      </c>
      <c r="H3" t="s" s="4">
        <v>12</v>
      </c>
      <c r="I3" t="s" s="4">
        <v>51</v>
      </c>
      <c r="J3" t="s" s="4">
        <v>52</v>
      </c>
      <c r="K3" t="s" s="4">
        <v>33</v>
      </c>
    </row>
    <row r="4" ht="20.25" customHeight="1">
      <c r="B4" s="23">
        <v>2016</v>
      </c>
      <c r="C4" s="24">
        <v>8748</v>
      </c>
      <c r="D4" s="32">
        <v>91263</v>
      </c>
      <c r="E4" s="32">
        <f>D4-C4</f>
        <v>82515</v>
      </c>
      <c r="F4" s="32">
        <f>'Cashflow '!D4</f>
        <v>791</v>
      </c>
      <c r="G4" s="32">
        <f>D4-H4</f>
        <v>66134</v>
      </c>
      <c r="H4" s="32">
        <v>25129</v>
      </c>
      <c r="I4" s="32">
        <f>G4+H4-C4-E4</f>
        <v>0</v>
      </c>
      <c r="J4" s="32">
        <f>C4-G4</f>
        <v>-57386</v>
      </c>
      <c r="K4" s="32"/>
    </row>
    <row r="5" ht="20.05" customHeight="1">
      <c r="B5" s="27"/>
      <c r="C5" s="17">
        <v>9647</v>
      </c>
      <c r="D5" s="18">
        <v>94094</v>
      </c>
      <c r="E5" s="18">
        <f>D5-C5</f>
        <v>84447</v>
      </c>
      <c r="F5" s="18">
        <f>F4+'Cashflow '!D5</f>
        <v>61</v>
      </c>
      <c r="G5" s="18">
        <f>D5-H5</f>
        <v>67256</v>
      </c>
      <c r="H5" s="18">
        <v>26838</v>
      </c>
      <c r="I5" s="18">
        <f>G5+H5-C5-E5</f>
        <v>0</v>
      </c>
      <c r="J5" s="18">
        <f>C5-G5</f>
        <v>-57609</v>
      </c>
      <c r="K5" s="18"/>
    </row>
    <row r="6" ht="20.05" customHeight="1">
      <c r="B6" s="27"/>
      <c r="C6" s="17">
        <v>11147</v>
      </c>
      <c r="D6" s="18">
        <v>93927</v>
      </c>
      <c r="E6" s="18">
        <f>D6-C6</f>
        <v>82780</v>
      </c>
      <c r="F6" s="18">
        <f>F5+'Cashflow '!D6</f>
        <v>1628</v>
      </c>
      <c r="G6" s="18">
        <f>D6-H6</f>
        <v>67682</v>
      </c>
      <c r="H6" s="18">
        <v>26245</v>
      </c>
      <c r="I6" s="18">
        <f>G6+H6-C6-E6</f>
        <v>0</v>
      </c>
      <c r="J6" s="18">
        <f>C6-G6</f>
        <v>-56535</v>
      </c>
      <c r="K6" s="18"/>
    </row>
    <row r="7" ht="20.05" customHeight="1">
      <c r="B7" s="27"/>
      <c r="C7" s="17">
        <v>8555</v>
      </c>
      <c r="D7" s="18">
        <v>87270</v>
      </c>
      <c r="E7" s="18">
        <f>D7-C7</f>
        <v>78715</v>
      </c>
      <c r="F7" s="18">
        <f>F6+'Cashflow '!D7</f>
        <v>2467</v>
      </c>
      <c r="G7" s="18">
        <f>D7-H7</f>
        <v>64050</v>
      </c>
      <c r="H7" s="18">
        <v>23220</v>
      </c>
      <c r="I7" s="18">
        <f>G7+H7-C7-E7</f>
        <v>0</v>
      </c>
      <c r="J7" s="18">
        <f>C7-G7</f>
        <v>-55495</v>
      </c>
      <c r="K7" s="18"/>
    </row>
    <row r="8" ht="20.05" customHeight="1">
      <c r="B8" s="28">
        <v>2017</v>
      </c>
      <c r="C8" s="17">
        <v>12120</v>
      </c>
      <c r="D8" s="18">
        <v>91201</v>
      </c>
      <c r="E8" s="18">
        <f>D8-C8</f>
        <v>79081</v>
      </c>
      <c r="F8" s="18">
        <f>F7+'Cashflow '!D8</f>
        <v>3581</v>
      </c>
      <c r="G8" s="18">
        <f>D8-H8</f>
        <v>68134</v>
      </c>
      <c r="H8" s="18">
        <v>23067</v>
      </c>
      <c r="I8" s="18">
        <f>G8+H8-C8-E8</f>
        <v>0</v>
      </c>
      <c r="J8" s="18">
        <f>C8-G8</f>
        <v>-56014</v>
      </c>
      <c r="K8" s="18"/>
    </row>
    <row r="9" ht="20.05" customHeight="1">
      <c r="B9" s="27"/>
      <c r="C9" s="17">
        <v>11718</v>
      </c>
      <c r="D9" s="18">
        <v>91146</v>
      </c>
      <c r="E9" s="18">
        <f>D9-C9</f>
        <v>79428</v>
      </c>
      <c r="F9" s="18">
        <f>F8+'Cashflow '!D9</f>
        <v>4721</v>
      </c>
      <c r="G9" s="18">
        <f>D9-H9</f>
        <v>69057</v>
      </c>
      <c r="H9" s="18">
        <v>22089</v>
      </c>
      <c r="I9" s="18">
        <f>G9+H9-C9-E9</f>
        <v>0</v>
      </c>
      <c r="J9" s="18">
        <f>C9-G9</f>
        <v>-57339</v>
      </c>
      <c r="K9" s="18"/>
    </row>
    <row r="10" ht="20.05" customHeight="1">
      <c r="B10" s="27"/>
      <c r="C10" s="17">
        <v>12528</v>
      </c>
      <c r="D10" s="18">
        <v>90515</v>
      </c>
      <c r="E10" s="18">
        <f>D10-C10</f>
        <v>77987</v>
      </c>
      <c r="F10" s="18">
        <f>F9+'Cashflow '!D10</f>
        <v>5780</v>
      </c>
      <c r="G10" s="18">
        <f>D10-H10</f>
        <v>68363</v>
      </c>
      <c r="H10" s="18">
        <v>22152</v>
      </c>
      <c r="I10" s="18">
        <f>G10+H10-C10-E10</f>
        <v>0</v>
      </c>
      <c r="J10" s="18">
        <f>C10-G10</f>
        <v>-55835</v>
      </c>
      <c r="K10" s="18"/>
    </row>
    <row r="11" ht="20.05" customHeight="1">
      <c r="B11" s="27"/>
      <c r="C11" s="17">
        <v>6006</v>
      </c>
      <c r="D11" s="18">
        <v>87896</v>
      </c>
      <c r="E11" s="18">
        <f>D11-C11</f>
        <v>81890</v>
      </c>
      <c r="F11" s="18">
        <f>F10+'Cashflow '!D11</f>
        <v>4751</v>
      </c>
      <c r="G11" s="18">
        <f>D11-H11</f>
        <v>68919</v>
      </c>
      <c r="H11" s="18">
        <v>18977</v>
      </c>
      <c r="I11" s="18">
        <f>G11+H11-C11-E11</f>
        <v>0</v>
      </c>
      <c r="J11" s="18">
        <f>C11-G11</f>
        <v>-62913</v>
      </c>
      <c r="K11" s="18"/>
    </row>
    <row r="12" ht="20.05" customHeight="1">
      <c r="B12" s="28">
        <v>2018</v>
      </c>
      <c r="C12" s="17">
        <v>8291</v>
      </c>
      <c r="D12" s="18">
        <v>93282</v>
      </c>
      <c r="E12" s="18">
        <f>D12-C12</f>
        <v>84991</v>
      </c>
      <c r="F12" s="18">
        <f>F11+'Cashflow '!D12</f>
        <v>5349</v>
      </c>
      <c r="G12" s="18">
        <f>D12-H12</f>
        <v>71665</v>
      </c>
      <c r="H12" s="18">
        <v>21617</v>
      </c>
      <c r="I12" s="18">
        <f>G12+H12-C12-E12</f>
        <v>0</v>
      </c>
      <c r="J12" s="18">
        <f>C12-G12</f>
        <v>-63374</v>
      </c>
      <c r="K12" s="18"/>
    </row>
    <row r="13" ht="20.05" customHeight="1">
      <c r="B13" s="27"/>
      <c r="C13" s="17">
        <v>7975</v>
      </c>
      <c r="D13" s="18">
        <v>89593</v>
      </c>
      <c r="E13" s="18">
        <f>D13-C13</f>
        <v>81618</v>
      </c>
      <c r="F13" s="18">
        <f>F12+'Cashflow '!D13</f>
        <v>5899</v>
      </c>
      <c r="G13" s="18">
        <f>D13-H13</f>
        <v>69417</v>
      </c>
      <c r="H13" s="18">
        <v>20176</v>
      </c>
      <c r="I13" s="18">
        <f>G13+H13-C13-E13</f>
        <v>0</v>
      </c>
      <c r="J13" s="18">
        <f>C13-G13</f>
        <v>-61442</v>
      </c>
      <c r="K13" s="18"/>
    </row>
    <row r="14" ht="20.05" customHeight="1">
      <c r="B14" s="27"/>
      <c r="C14" s="17">
        <v>9065</v>
      </c>
      <c r="D14" s="18">
        <v>86877</v>
      </c>
      <c r="E14" s="18">
        <f>D14-C14</f>
        <v>77812</v>
      </c>
      <c r="F14" s="18">
        <f>F13+'Cashflow '!D14</f>
        <v>6530</v>
      </c>
      <c r="G14" s="18">
        <f>D14-H14</f>
        <v>66699</v>
      </c>
      <c r="H14" s="18">
        <v>20178</v>
      </c>
      <c r="I14" s="18">
        <f>G14+H14-C14-E14</f>
        <v>0</v>
      </c>
      <c r="J14" s="18">
        <f>C14-G14</f>
        <v>-57634</v>
      </c>
      <c r="K14" s="18"/>
    </row>
    <row r="15" ht="20.05" customHeight="1">
      <c r="B15" s="27"/>
      <c r="C15" s="17">
        <v>8926</v>
      </c>
      <c r="D15" s="18">
        <v>83216</v>
      </c>
      <c r="E15" s="18">
        <f>D15-C15</f>
        <v>74290</v>
      </c>
      <c r="F15" s="18">
        <f>F14+'Cashflow '!D15</f>
        <v>7142</v>
      </c>
      <c r="G15" s="18">
        <f>D15-H15</f>
        <v>64158</v>
      </c>
      <c r="H15" s="18">
        <v>19058</v>
      </c>
      <c r="I15" s="18">
        <f>G15+H15-C15-E15</f>
        <v>0</v>
      </c>
      <c r="J15" s="18">
        <f>C15-G15</f>
        <v>-55232</v>
      </c>
      <c r="K15" s="18"/>
    </row>
    <row r="16" ht="20.05" customHeight="1">
      <c r="B16" s="28">
        <v>2019</v>
      </c>
      <c r="C16" s="17">
        <v>5645</v>
      </c>
      <c r="D16" s="18">
        <v>88347</v>
      </c>
      <c r="E16" s="18">
        <f>D16-C16</f>
        <v>82702</v>
      </c>
      <c r="F16" s="18">
        <f>F15+'Cashflow '!D16</f>
        <v>7709</v>
      </c>
      <c r="G16" s="18">
        <f>D16-H16</f>
        <v>68543</v>
      </c>
      <c r="H16" s="18">
        <v>19804</v>
      </c>
      <c r="I16" s="18">
        <f>G16+H16-C16-E16</f>
        <v>0</v>
      </c>
      <c r="J16" s="18">
        <f>C16-G16</f>
        <v>-62898</v>
      </c>
      <c r="K16" s="18"/>
    </row>
    <row r="17" ht="20.05" customHeight="1">
      <c r="B17" s="27"/>
      <c r="C17" s="17">
        <v>6731</v>
      </c>
      <c r="D17" s="18">
        <v>89996</v>
      </c>
      <c r="E17" s="18">
        <f>D17-C17</f>
        <v>83265</v>
      </c>
      <c r="F17" s="18">
        <f>F16+'Cashflow '!D17</f>
        <v>11813</v>
      </c>
      <c r="G17" s="18">
        <f>D17-H17</f>
        <v>69701</v>
      </c>
      <c r="H17" s="18">
        <v>20295</v>
      </c>
      <c r="I17" s="18">
        <f>G17+H17-C17-E17</f>
        <v>0</v>
      </c>
      <c r="J17" s="18">
        <f>C17-G17</f>
        <v>-62970</v>
      </c>
      <c r="K17" s="18"/>
    </row>
    <row r="18" ht="20.05" customHeight="1">
      <c r="B18" s="27"/>
      <c r="C18" s="17">
        <v>7531</v>
      </c>
      <c r="D18" s="18">
        <v>87433</v>
      </c>
      <c r="E18" s="18">
        <f>D18-C18</f>
        <v>79902</v>
      </c>
      <c r="F18" s="18">
        <f>F17+'Cashflow '!D18</f>
        <v>7872</v>
      </c>
      <c r="G18" s="18">
        <f>D18-H18</f>
        <v>66750</v>
      </c>
      <c r="H18" s="18">
        <v>20683</v>
      </c>
      <c r="I18" s="18">
        <f>G18+H18-E18-C18</f>
        <v>0</v>
      </c>
      <c r="J18" s="18">
        <f>C18-G18</f>
        <v>-59219</v>
      </c>
      <c r="K18" s="18"/>
    </row>
    <row r="19" ht="20.05" customHeight="1">
      <c r="B19" s="27"/>
      <c r="C19" s="17">
        <v>6480</v>
      </c>
      <c r="D19" s="18">
        <v>86381</v>
      </c>
      <c r="E19" s="18">
        <f>D19-C19</f>
        <v>79901</v>
      </c>
      <c r="F19" s="18">
        <f>F18+'Cashflow '!D19</f>
        <v>8262</v>
      </c>
      <c r="G19" s="18">
        <f>D19-H19</f>
        <v>65283</v>
      </c>
      <c r="H19" s="18">
        <v>21098</v>
      </c>
      <c r="I19" s="18">
        <f>G19+H19-C19-E19</f>
        <v>0</v>
      </c>
      <c r="J19" s="18">
        <f>C19-G19</f>
        <v>-58803</v>
      </c>
      <c r="K19" s="18"/>
    </row>
    <row r="20" ht="20.05" customHeight="1">
      <c r="B20" s="28">
        <v>2020</v>
      </c>
      <c r="C20" s="17">
        <v>13561</v>
      </c>
      <c r="D20" s="18">
        <v>94013</v>
      </c>
      <c r="E20" s="18">
        <f>D20-C20</f>
        <v>80452</v>
      </c>
      <c r="F20" s="18">
        <f>F19+'Cashflow '!D20</f>
        <v>7792</v>
      </c>
      <c r="G20" s="18">
        <f>D20-H20</f>
        <v>74179</v>
      </c>
      <c r="H20" s="18">
        <v>19834</v>
      </c>
      <c r="I20" s="18">
        <f>G20+H20-C20-E20</f>
        <v>0</v>
      </c>
      <c r="J20" s="18">
        <f>C20-G20</f>
        <v>-60618</v>
      </c>
      <c r="K20" s="18"/>
    </row>
    <row r="21" ht="20.05" customHeight="1">
      <c r="B21" s="27"/>
      <c r="C21" s="17">
        <v>10037</v>
      </c>
      <c r="D21" s="18">
        <v>94689</v>
      </c>
      <c r="E21" s="18">
        <f>D21-C21</f>
        <v>84652</v>
      </c>
      <c r="F21" s="18">
        <f>F20+'Cashflow '!D21</f>
        <v>8220</v>
      </c>
      <c r="G21" s="18">
        <f>D21-H21</f>
        <v>75500</v>
      </c>
      <c r="H21" s="18">
        <v>19189</v>
      </c>
      <c r="I21" s="18">
        <f>G21+H21-C21-E21</f>
        <v>0</v>
      </c>
      <c r="J21" s="18">
        <f>C21-G21</f>
        <v>-65463</v>
      </c>
      <c r="K21" s="18"/>
    </row>
    <row r="22" ht="20.05" customHeight="1">
      <c r="B22" s="27"/>
      <c r="C22" s="17">
        <v>11385</v>
      </c>
      <c r="D22" s="18">
        <v>97184</v>
      </c>
      <c r="E22" s="18">
        <f>D22-C22</f>
        <v>85799</v>
      </c>
      <c r="F22" s="18">
        <f>F21+'Cashflow '!D22</f>
        <v>9090</v>
      </c>
      <c r="G22" s="18">
        <f>D22-H22</f>
        <v>76868</v>
      </c>
      <c r="H22" s="18">
        <v>20316</v>
      </c>
      <c r="I22" s="18">
        <f>G22+H22-C22-E22</f>
        <v>0</v>
      </c>
      <c r="J22" s="18">
        <f>C22-G22</f>
        <v>-65483</v>
      </c>
      <c r="K22" s="18"/>
    </row>
    <row r="23" ht="20.05" customHeight="1">
      <c r="B23" s="27"/>
      <c r="C23" s="17">
        <v>6795</v>
      </c>
      <c r="D23" s="18">
        <v>87296</v>
      </c>
      <c r="E23" s="18">
        <f>D23-C23</f>
        <v>80501</v>
      </c>
      <c r="F23" s="18">
        <f>F22+'Cashflow '!D23</f>
        <v>9648</v>
      </c>
      <c r="G23" s="18">
        <f>87296-21284</f>
        <v>66012</v>
      </c>
      <c r="H23" s="18">
        <v>21284</v>
      </c>
      <c r="I23" s="18">
        <f>G23+H23-C23-E23</f>
        <v>0</v>
      </c>
      <c r="J23" s="18">
        <f>C23-G23</f>
        <v>-59217</v>
      </c>
      <c r="K23" s="18"/>
    </row>
    <row r="24" ht="20.05" customHeight="1">
      <c r="B24" s="28">
        <v>2021</v>
      </c>
      <c r="C24" s="17">
        <v>8484</v>
      </c>
      <c r="D24" s="18">
        <v>89993</v>
      </c>
      <c r="E24" s="18">
        <f>D24-C24</f>
        <v>81509</v>
      </c>
      <c r="F24" s="18">
        <f>F23+'Cashflow '!D24</f>
        <v>10406</v>
      </c>
      <c r="G24" s="18">
        <f>89993-22332</f>
        <v>67661</v>
      </c>
      <c r="H24" s="18">
        <v>22332</v>
      </c>
      <c r="I24" s="18">
        <f>G24+H24-C24-E24</f>
        <v>0</v>
      </c>
      <c r="J24" s="18">
        <f>C24-G24</f>
        <v>-59177</v>
      </c>
      <c r="K24" s="18"/>
    </row>
    <row r="25" ht="20.05" customHeight="1">
      <c r="B25" s="27"/>
      <c r="C25" s="17">
        <v>9188</v>
      </c>
      <c r="D25" s="18">
        <v>90194</v>
      </c>
      <c r="E25" s="18">
        <f>D25-C25</f>
        <v>81006</v>
      </c>
      <c r="F25" s="18">
        <f>F24+'Cashflow '!D25</f>
        <v>10732</v>
      </c>
      <c r="G25" s="18">
        <v>65939</v>
      </c>
      <c r="H25" s="18">
        <v>24255</v>
      </c>
      <c r="I25" s="18">
        <f>G25+H25-C25-E25</f>
        <v>0</v>
      </c>
      <c r="J25" s="18">
        <f>C25-G25</f>
        <v>-56751</v>
      </c>
      <c r="K25" s="18"/>
    </row>
    <row r="26" ht="20.05" customHeight="1">
      <c r="B26" s="27"/>
      <c r="C26" s="17">
        <v>11301</v>
      </c>
      <c r="D26" s="18">
        <v>90606</v>
      </c>
      <c r="E26" s="18">
        <f>D26-C26</f>
        <v>79305</v>
      </c>
      <c r="F26" s="18">
        <f>F25+'Cashflow '!D26</f>
        <v>11357</v>
      </c>
      <c r="G26" s="18">
        <v>66472</v>
      </c>
      <c r="H26" s="18">
        <v>24133</v>
      </c>
      <c r="I26" s="18">
        <f>G26+H26-C26-E26</f>
        <v>-1</v>
      </c>
      <c r="J26" s="18">
        <f>C26-G26</f>
        <v>-55171</v>
      </c>
      <c r="K26" s="18">
        <f>J26</f>
        <v>-55171</v>
      </c>
    </row>
    <row r="27" ht="20.05" customHeight="1">
      <c r="B27" s="27"/>
      <c r="C27" s="17"/>
      <c r="D27" s="18"/>
      <c r="E27" s="18"/>
      <c r="F27" s="18"/>
      <c r="G27" s="18"/>
      <c r="H27" s="18"/>
      <c r="I27" s="18"/>
      <c r="J27" s="18"/>
      <c r="K27" s="18">
        <f>'Model'!F30</f>
        <v>-48886.2578276805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1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1.0469" style="34" customWidth="1"/>
    <col min="2" max="3" width="11.4922" style="34" customWidth="1"/>
    <col min="4" max="16384" width="16.3516" style="34" customWidth="1"/>
  </cols>
  <sheetData>
    <row r="1" ht="27.65" customHeight="1">
      <c r="A1" t="s" s="2">
        <v>53</v>
      </c>
      <c r="B1" s="2"/>
      <c r="C1" s="2"/>
    </row>
    <row r="2" ht="20.25" customHeight="1">
      <c r="A2" s="5"/>
      <c r="B2" t="s" s="4">
        <v>54</v>
      </c>
      <c r="C2" t="s" s="4">
        <v>55</v>
      </c>
    </row>
    <row r="3" ht="20.25" customHeight="1">
      <c r="A3" s="23">
        <v>2018</v>
      </c>
      <c r="B3" s="35">
        <v>39.488754</v>
      </c>
      <c r="C3" s="8"/>
    </row>
    <row r="4" ht="20.05" customHeight="1">
      <c r="A4" s="27"/>
      <c r="B4" s="36">
        <v>42.993759</v>
      </c>
      <c r="C4" s="20"/>
    </row>
    <row r="5" ht="20.05" customHeight="1">
      <c r="A5" s="27"/>
      <c r="B5" s="36">
        <v>44.521786</v>
      </c>
      <c r="C5" s="20"/>
    </row>
    <row r="6" ht="20.05" customHeight="1">
      <c r="A6" s="27"/>
      <c r="B6" s="36">
        <v>45.108147</v>
      </c>
      <c r="C6" s="20"/>
    </row>
    <row r="7" ht="20.05" customHeight="1">
      <c r="A7" s="28">
        <v>2019</v>
      </c>
      <c r="B7" s="36">
        <v>46.381153</v>
      </c>
      <c r="C7" s="20"/>
    </row>
    <row r="8" ht="20.05" customHeight="1">
      <c r="A8" s="27"/>
      <c r="B8" s="36">
        <v>50.144634</v>
      </c>
      <c r="C8" s="20"/>
    </row>
    <row r="9" ht="20.05" customHeight="1">
      <c r="A9" s="27"/>
      <c r="B9" s="36">
        <v>52.238796</v>
      </c>
      <c r="C9" s="20"/>
    </row>
    <row r="10" ht="20.05" customHeight="1">
      <c r="A10" s="27"/>
      <c r="B10" s="36">
        <v>56.46764</v>
      </c>
      <c r="C10" s="20"/>
    </row>
    <row r="11" ht="20.05" customHeight="1">
      <c r="A11" s="28">
        <v>2020</v>
      </c>
      <c r="B11" s="36">
        <v>43.161076</v>
      </c>
      <c r="C11" s="20"/>
    </row>
    <row r="12" ht="20.05" customHeight="1">
      <c r="A12" s="27"/>
      <c r="B12" s="36">
        <v>43.976414</v>
      </c>
      <c r="C12" s="20"/>
    </row>
    <row r="13" ht="20.05" customHeight="1">
      <c r="A13" s="27"/>
      <c r="B13" s="36">
        <v>48.985905</v>
      </c>
      <c r="C13" s="20"/>
    </row>
    <row r="14" ht="20.05" customHeight="1">
      <c r="A14" s="27"/>
      <c r="B14" s="17">
        <v>54.387314</v>
      </c>
      <c r="C14" s="20"/>
    </row>
    <row r="15" ht="20.05" customHeight="1">
      <c r="A15" s="28">
        <v>2021</v>
      </c>
      <c r="B15" s="17">
        <v>52.709999</v>
      </c>
      <c r="C15" s="20"/>
    </row>
    <row r="16" ht="20.05" customHeight="1">
      <c r="A16" s="27"/>
      <c r="B16" s="17">
        <v>53.96</v>
      </c>
      <c r="C16" s="20"/>
    </row>
    <row r="17" ht="20.05" customHeight="1">
      <c r="A17" s="27"/>
      <c r="B17" s="17">
        <v>55.61</v>
      </c>
      <c r="C17" s="20"/>
    </row>
    <row r="18" ht="20.05" customHeight="1">
      <c r="A18" s="27"/>
      <c r="B18" s="17">
        <v>58.65</v>
      </c>
      <c r="C18" s="19">
        <f>B18</f>
        <v>58.65</v>
      </c>
    </row>
    <row r="19" ht="20.05" customHeight="1">
      <c r="A19" s="27"/>
      <c r="B19" s="17"/>
      <c r="C19" s="19">
        <f>'Model'!F42</f>
        <v>71.4992997787329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