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<sst xmlns="http://schemas.openxmlformats.org/spreadsheetml/2006/main" uniqueCount="57">
  <si>
    <t>Financial model</t>
  </si>
  <si>
    <t>Rpbn</t>
  </si>
  <si>
    <t>4Q 2021</t>
  </si>
  <si>
    <t xml:space="preserve">Cashflow 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</si>
  <si>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</si>
  <si>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</si>
  <si>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</si>
  <si>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</si>
  <si>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</si>
  <si>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</si>
  <si>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</si>
  <si>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</si>
  <si>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</si>
  <si>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</si>
  <si>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</si>
  <si>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</si>
  <si>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</si>
  <si>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</si>
  <si>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</si>
  <si>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</si>
  <si>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</si>
  <si>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</si>
  <si>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</si>
  <si>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</si>
  <si>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</si>
  <si>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</si>
  <si>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</si>
  <si>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</si>
  <si>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</si>
  <si>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</si>
  <si>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</si>
  <si>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</si>
  <si>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</si>
  <si>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</si>
  <si>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</si>
  <si>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</si>
  <si>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</si>
  <si>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</si>
  <si>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</si>
  <si>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</si>
  <si>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</si>
  <si>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</si>
  <si>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Profit </t>
  </si>
  <si>
    <t xml:space="preserve">Sales growth </t>
  </si>
  <si>
    <t xml:space="preserve">Cost ratio </t>
  </si>
  <si>
    <t xml:space="preserve">Cashflow costs </t>
  </si>
  <si>
    <t>Cashflow</t>
  </si>
  <si>
    <t>Receipts</t>
  </si>
  <si>
    <t xml:space="preserve">Operating </t>
  </si>
  <si>
    <t xml:space="preserve">Investment </t>
  </si>
  <si>
    <t xml:space="preserve">Lease </t>
  </si>
  <si>
    <t xml:space="preserve">Free cashflow </t>
  </si>
  <si>
    <t>Cash</t>
  </si>
  <si>
    <t>Assets</t>
  </si>
  <si>
    <t>Check</t>
  </si>
  <si>
    <t>KAEF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</si>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</sst>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2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3" fontId="0" fillId="5" borderId="6" applyNumberFormat="1" applyFont="1" applyFill="1" applyBorder="1" applyAlignment="1" applyProtection="0">
      <alignment vertical="top" wrapText="1"/>
    </xf>
    <xf numFmtId="3" fontId="0" fillId="5" borderId="7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690137</xdr:colOff>
      <xdr:row>1</xdr:row>
      <xdr:rowOff>271276</xdr:rowOff>
    </xdr:from>
    <xdr:to>
      <xdr:col>13</xdr:col>
      <xdr:colOff>444390</xdr:colOff>
      <xdr:row>47</xdr:row>
      <xdr:rowOff>9674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70037" y="383671"/>
          <a:ext cx="8466454" cy="1155130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8906" style="1" customWidth="1"/>
    <col min="2" max="2" width="14.7656" style="1" customWidth="1"/>
    <col min="3" max="6" width="8.92969" style="1" customWidth="1"/>
    <col min="7" max="16384" width="16.3516" style="1" customWidth="1"/>
  </cols>
  <sheetData>
    <row r="1" ht="8.8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AVERAGE('Sales'!H27:H30)</f>
        <v>0.164182126417777</v>
      </c>
      <c r="D4" s="8"/>
      <c r="E4" s="8"/>
      <c r="F4" s="9">
        <f>AVERAGE(C5:F5)</f>
        <v>0.03</v>
      </c>
    </row>
    <row r="5" ht="20.05" customHeight="1">
      <c r="B5" t="s" s="10">
        <v>4</v>
      </c>
      <c r="C5" s="11">
        <v>0.03</v>
      </c>
      <c r="D5" s="12">
        <v>-0.03</v>
      </c>
      <c r="E5" s="12">
        <v>0.13</v>
      </c>
      <c r="F5" s="12">
        <v>-0.01</v>
      </c>
    </row>
    <row r="6" ht="20.05" customHeight="1">
      <c r="B6" t="s" s="10">
        <v>5</v>
      </c>
      <c r="C6" s="13">
        <f>'Sales'!C30*(1+C5)</f>
        <v>4052.638</v>
      </c>
      <c r="D6" s="14">
        <f>C6*(1+D5)</f>
        <v>3931.05886</v>
      </c>
      <c r="E6" s="14">
        <f>D6*(1+E5)</f>
        <v>4442.0965118</v>
      </c>
      <c r="F6" s="14">
        <f>E6*(1+F5)</f>
        <v>4397.675546682</v>
      </c>
    </row>
    <row r="7" ht="20.05" customHeight="1">
      <c r="B7" t="s" s="10">
        <v>6</v>
      </c>
      <c r="C7" s="15">
        <f>AVERAGE('Sales'!J29)</f>
        <v>-0.962960474840603</v>
      </c>
      <c r="D7" s="16">
        <f>C7</f>
        <v>-0.962960474840603</v>
      </c>
      <c r="E7" s="16">
        <f>D7</f>
        <v>-0.962960474840603</v>
      </c>
      <c r="F7" s="16">
        <f>E7</f>
        <v>-0.962960474840603</v>
      </c>
    </row>
    <row r="8" ht="20.05" customHeight="1">
      <c r="B8" t="s" s="10">
        <v>7</v>
      </c>
      <c r="C8" s="17">
        <f>C7*C6</f>
        <v>-3902.530212837070</v>
      </c>
      <c r="D8" s="18">
        <f>D7*D6</f>
        <v>-3785.454306451960</v>
      </c>
      <c r="E8" s="18">
        <f>E7*E6</f>
        <v>-4277.563366290710</v>
      </c>
      <c r="F8" s="18">
        <f>F7*F6</f>
        <v>-4234.787732627810</v>
      </c>
    </row>
    <row r="9" ht="20.05" customHeight="1">
      <c r="B9" t="s" s="10">
        <v>8</v>
      </c>
      <c r="C9" s="17">
        <f>C6+C8</f>
        <v>150.107787162930</v>
      </c>
      <c r="D9" s="18">
        <f>D6+D8</f>
        <v>145.604553548040</v>
      </c>
      <c r="E9" s="18">
        <f>E6+E8</f>
        <v>164.533145509290</v>
      </c>
      <c r="F9" s="18">
        <f>F6+F8</f>
        <v>162.887814054190</v>
      </c>
    </row>
    <row r="10" ht="20.05" customHeight="1">
      <c r="B10" t="s" s="10">
        <v>9</v>
      </c>
      <c r="C10" s="17">
        <f>AVERAGE('Cashflow '!E28:E30)</f>
        <v>-106.933333333333</v>
      </c>
      <c r="D10" s="18">
        <f>C10</f>
        <v>-106.933333333333</v>
      </c>
      <c r="E10" s="18">
        <f>D10</f>
        <v>-106.933333333333</v>
      </c>
      <c r="F10" s="18">
        <f>E10</f>
        <v>-106.933333333333</v>
      </c>
    </row>
    <row r="11" ht="20.05" customHeight="1">
      <c r="B11" t="s" s="10">
        <v>10</v>
      </c>
      <c r="C11" s="17">
        <f>C12+C13+C15</f>
        <v>-43.174453829597</v>
      </c>
      <c r="D11" s="18">
        <f>D12+D13+D15</f>
        <v>-38.671220214707</v>
      </c>
      <c r="E11" s="18">
        <f>E12+E13+E15</f>
        <v>-57.599812175957</v>
      </c>
      <c r="F11" s="18">
        <f>F12+F13+F15</f>
        <v>-55.954480720857</v>
      </c>
    </row>
    <row r="12" ht="20.05" customHeight="1">
      <c r="B12" t="s" s="10">
        <v>11</v>
      </c>
      <c r="C12" s="17">
        <f>-('Balance sheet'!G30)/20</f>
        <v>-580.25</v>
      </c>
      <c r="D12" s="18">
        <f>-C26/20</f>
        <v>-551.2375</v>
      </c>
      <c r="E12" s="18">
        <f>-D26/20</f>
        <v>-523.675625</v>
      </c>
      <c r="F12" s="18">
        <f>-E26/20</f>
        <v>-497.49184375</v>
      </c>
    </row>
    <row r="13" ht="20.05" customHeight="1">
      <c r="B13" t="s" s="10">
        <v>12</v>
      </c>
      <c r="C13" s="17">
        <f>IF(C21&gt;0,-C21*0.1,0)</f>
        <v>-6.300778716293</v>
      </c>
      <c r="D13" s="18">
        <f>IF(D21&gt;0,-D21*0.1,0)</f>
        <v>-5.850455354804</v>
      </c>
      <c r="E13" s="18">
        <f>IF(E21&gt;0,-E21*0.1,0)</f>
        <v>-7.743314550929</v>
      </c>
      <c r="F13" s="18">
        <f>IF(F21&gt;0,-F21*0.1,0)</f>
        <v>-7.578781405419</v>
      </c>
    </row>
    <row r="14" ht="20.05" customHeight="1">
      <c r="B14" t="s" s="10">
        <v>13</v>
      </c>
      <c r="C14" s="17">
        <f>C9+C10+C12+C13</f>
        <v>-543.376324886696</v>
      </c>
      <c r="D14" s="18">
        <f>D9+D10+D12+D13</f>
        <v>-518.416735140097</v>
      </c>
      <c r="E14" s="18">
        <f>E9+E10+E12+E13</f>
        <v>-473.819127374972</v>
      </c>
      <c r="F14" s="18">
        <f>F9+F10+F12+F13</f>
        <v>-449.116144434562</v>
      </c>
    </row>
    <row r="15" ht="20.05" customHeight="1">
      <c r="B15" t="s" s="10">
        <v>14</v>
      </c>
      <c r="C15" s="17">
        <f>-MIN(0,C14)</f>
        <v>543.376324886696</v>
      </c>
      <c r="D15" s="18">
        <f>-MIN(C27,D14)</f>
        <v>518.416735140097</v>
      </c>
      <c r="E15" s="18">
        <f>-MIN(D27,E14)</f>
        <v>473.819127374972</v>
      </c>
      <c r="F15" s="18">
        <f>-MIN(E27,F14)</f>
        <v>449.116144434562</v>
      </c>
    </row>
    <row r="16" ht="20.05" customHeight="1">
      <c r="B16" t="s" s="10">
        <v>15</v>
      </c>
      <c r="C16" s="17">
        <f>'Balance sheet'!C30</f>
        <v>661</v>
      </c>
      <c r="D16" s="18">
        <f>C18</f>
        <v>661</v>
      </c>
      <c r="E16" s="18">
        <f>D18</f>
        <v>661</v>
      </c>
      <c r="F16" s="18">
        <f>E18</f>
        <v>661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661</v>
      </c>
      <c r="D18" s="18">
        <f>D16+D17</f>
        <v>661</v>
      </c>
      <c r="E18" s="18">
        <f>E16+E17</f>
        <v>661</v>
      </c>
      <c r="F18" s="18">
        <f>F16+F17</f>
        <v>661</v>
      </c>
    </row>
    <row r="19" ht="20.05" customHeight="1">
      <c r="B19" t="s" s="19">
        <v>18</v>
      </c>
      <c r="C19" s="17"/>
      <c r="D19" s="18"/>
      <c r="E19" s="18"/>
      <c r="F19" s="20"/>
    </row>
    <row r="20" ht="20.05" customHeight="1">
      <c r="B20" t="s" s="10">
        <v>19</v>
      </c>
      <c r="C20" s="17">
        <f>-AVERAGE('Sales'!E30)</f>
        <v>-87.09999999999999</v>
      </c>
      <c r="D20" s="18">
        <f>C20</f>
        <v>-87.09999999999999</v>
      </c>
      <c r="E20" s="18">
        <f>D20</f>
        <v>-87.09999999999999</v>
      </c>
      <c r="F20" s="18">
        <f>E20</f>
        <v>-87.09999999999999</v>
      </c>
    </row>
    <row r="21" ht="20.05" customHeight="1">
      <c r="B21" t="s" s="10">
        <v>20</v>
      </c>
      <c r="C21" s="17">
        <f>C6+C8+C20</f>
        <v>63.007787162930</v>
      </c>
      <c r="D21" s="18">
        <f>D6+D8+D20</f>
        <v>58.504553548040</v>
      </c>
      <c r="E21" s="18">
        <f>E6+E8+E20</f>
        <v>77.433145509290</v>
      </c>
      <c r="F21" s="18">
        <f>F6+F8+F20</f>
        <v>75.78781405418999</v>
      </c>
    </row>
    <row r="22" ht="20.05" customHeight="1">
      <c r="B22" t="s" s="10">
        <v>21</v>
      </c>
      <c r="C22" s="17"/>
      <c r="D22" s="18"/>
      <c r="E22" s="18"/>
      <c r="F22" s="18"/>
    </row>
    <row r="23" ht="20.05" customHeight="1">
      <c r="B23" t="s" s="10">
        <v>22</v>
      </c>
      <c r="C23" s="17">
        <f>'Balance sheet'!E30+'Balance sheet'!F30-C10</f>
        <v>19825.9333333333</v>
      </c>
      <c r="D23" s="18">
        <f>C23-D10</f>
        <v>19932.8666666666</v>
      </c>
      <c r="E23" s="18">
        <f>D23-E10</f>
        <v>20039.7999999999</v>
      </c>
      <c r="F23" s="18">
        <f>E23-F10</f>
        <v>20146.7333333332</v>
      </c>
    </row>
    <row r="24" ht="20.05" customHeight="1">
      <c r="B24" t="s" s="10">
        <v>23</v>
      </c>
      <c r="C24" s="17">
        <f>'Balance sheet'!F30-C20</f>
        <v>1622.1</v>
      </c>
      <c r="D24" s="18">
        <f>C24-D20</f>
        <v>1709.2</v>
      </c>
      <c r="E24" s="18">
        <f>D24-E20</f>
        <v>1796.3</v>
      </c>
      <c r="F24" s="18">
        <f>E24-F20</f>
        <v>1883.4</v>
      </c>
    </row>
    <row r="25" ht="20.05" customHeight="1">
      <c r="B25" t="s" s="10">
        <v>24</v>
      </c>
      <c r="C25" s="17">
        <f>C23-C24</f>
        <v>18203.8333333333</v>
      </c>
      <c r="D25" s="18">
        <f>D23-D24</f>
        <v>18223.6666666666</v>
      </c>
      <c r="E25" s="18">
        <f>E23-E24</f>
        <v>18243.4999999999</v>
      </c>
      <c r="F25" s="18">
        <f>F23-F24</f>
        <v>18263.3333333332</v>
      </c>
    </row>
    <row r="26" ht="20.05" customHeight="1">
      <c r="B26" t="s" s="10">
        <v>11</v>
      </c>
      <c r="C26" s="17">
        <f>'Balance sheet'!G30+C12</f>
        <v>11024.75</v>
      </c>
      <c r="D26" s="18">
        <f>C26+D12</f>
        <v>10473.5125</v>
      </c>
      <c r="E26" s="18">
        <f>D26+E12</f>
        <v>9949.836875000001</v>
      </c>
      <c r="F26" s="18">
        <f>E26+F12</f>
        <v>9452.345031250001</v>
      </c>
    </row>
    <row r="27" ht="20.05" customHeight="1">
      <c r="B27" t="s" s="10">
        <v>14</v>
      </c>
      <c r="C27" s="17">
        <f>C15</f>
        <v>543.376324886696</v>
      </c>
      <c r="D27" s="18">
        <f>C27+D15</f>
        <v>1061.793060026790</v>
      </c>
      <c r="E27" s="18">
        <f>D27+E15</f>
        <v>1535.612187401760</v>
      </c>
      <c r="F27" s="18">
        <f>E27+F15</f>
        <v>1984.728331836320</v>
      </c>
    </row>
    <row r="28" ht="20.05" customHeight="1">
      <c r="B28" t="s" s="10">
        <v>25</v>
      </c>
      <c r="C28" s="17">
        <f>'Balance sheet'!H30+C21+C13</f>
        <v>7296.707008446640</v>
      </c>
      <c r="D28" s="18">
        <f>C28+D21+D13</f>
        <v>7349.361106639880</v>
      </c>
      <c r="E28" s="18">
        <f>D28+E21+E13</f>
        <v>7419.050937598240</v>
      </c>
      <c r="F28" s="18">
        <f>E28+F21+F13</f>
        <v>7487.259970247010</v>
      </c>
    </row>
    <row r="29" ht="20.05" customHeight="1">
      <c r="B29" t="s" s="10">
        <v>26</v>
      </c>
      <c r="C29" s="17">
        <f>C26+C27+C28-C18-C25</f>
        <v>3.6e-11</v>
      </c>
      <c r="D29" s="18">
        <f>D26+D27+D28-D18-D25</f>
        <v>7e-11</v>
      </c>
      <c r="E29" s="18">
        <f>E26+E27+E28-E18-E25</f>
        <v>1e-10</v>
      </c>
      <c r="F29" s="18">
        <f>F26+F27+F28-F18-F25</f>
        <v>1.3e-10</v>
      </c>
    </row>
    <row r="30" ht="20.05" customHeight="1">
      <c r="B30" t="s" s="10">
        <v>27</v>
      </c>
      <c r="C30" s="17">
        <f>C18-C26-C27</f>
        <v>-10907.1263248867</v>
      </c>
      <c r="D30" s="18">
        <f>D18-D26-D27</f>
        <v>-10874.3055600268</v>
      </c>
      <c r="E30" s="18">
        <f>E18-E26-E27</f>
        <v>-10824.4490624018</v>
      </c>
      <c r="F30" s="18">
        <f>F18-F26-F27</f>
        <v>-10776.0733630863</v>
      </c>
    </row>
    <row r="31" ht="20.05" customHeight="1">
      <c r="B31" t="s" s="10">
        <v>28</v>
      </c>
      <c r="C31" s="17"/>
      <c r="D31" s="18"/>
      <c r="E31" s="18"/>
      <c r="F31" s="18"/>
    </row>
    <row r="32" ht="20.05" customHeight="1">
      <c r="B32" t="s" s="10">
        <v>29</v>
      </c>
      <c r="C32" s="17">
        <f>'Cashflow '!L30-C11</f>
        <v>-7199.7255461704</v>
      </c>
      <c r="D32" s="18">
        <f>C32-D11</f>
        <v>-7161.054325955690</v>
      </c>
      <c r="E32" s="18">
        <f>D32-E11</f>
        <v>-7103.454513779730</v>
      </c>
      <c r="F32" s="18">
        <f>E32-F11</f>
        <v>-7047.500033058870</v>
      </c>
    </row>
    <row r="33" ht="20.05" customHeight="1">
      <c r="B33" t="s" s="10">
        <v>30</v>
      </c>
      <c r="C33" s="17"/>
      <c r="D33" s="18"/>
      <c r="E33" s="18"/>
      <c r="F33" s="18">
        <v>14050</v>
      </c>
    </row>
    <row r="34" ht="20.05" customHeight="1">
      <c r="B34" t="s" s="10">
        <v>31</v>
      </c>
      <c r="C34" s="17"/>
      <c r="D34" s="18"/>
      <c r="E34" s="18"/>
      <c r="F34" s="21">
        <f>F33/(F18+F25)</f>
        <v>0.742430380638689</v>
      </c>
    </row>
    <row r="35" ht="20.05" customHeight="1">
      <c r="B35" t="s" s="10">
        <v>32</v>
      </c>
      <c r="C35" s="17"/>
      <c r="D35" s="18"/>
      <c r="E35" s="18"/>
      <c r="F35" s="22">
        <f>-(C13+D13+E13+F13)/F33</f>
        <v>0.00195539715497829</v>
      </c>
    </row>
    <row r="36" ht="20.05" customHeight="1">
      <c r="B36" t="s" s="10">
        <v>3</v>
      </c>
      <c r="C36" s="17"/>
      <c r="D36" s="18"/>
      <c r="E36" s="18"/>
      <c r="F36" s="18">
        <f>SUM(C9:F10)</f>
        <v>195.399966941118</v>
      </c>
    </row>
    <row r="37" ht="20.05" customHeight="1">
      <c r="B37" t="s" s="10">
        <v>33</v>
      </c>
      <c r="C37" s="17"/>
      <c r="D37" s="18"/>
      <c r="E37" s="18"/>
      <c r="F37" s="18">
        <f>'Balance sheet'!E30/F36</f>
        <v>93.0604046902402</v>
      </c>
    </row>
    <row r="38" ht="20.05" customHeight="1">
      <c r="B38" t="s" s="10">
        <v>28</v>
      </c>
      <c r="C38" s="17"/>
      <c r="D38" s="18"/>
      <c r="E38" s="18"/>
      <c r="F38" s="18">
        <f>F33/F36</f>
        <v>71.90379926847091</v>
      </c>
    </row>
    <row r="39" ht="20.05" customHeight="1">
      <c r="B39" t="s" s="10">
        <v>34</v>
      </c>
      <c r="C39" s="17"/>
      <c r="D39" s="18"/>
      <c r="E39" s="18"/>
      <c r="F39" s="18">
        <v>50</v>
      </c>
    </row>
    <row r="40" ht="20.05" customHeight="1">
      <c r="B40" t="s" s="10">
        <v>35</v>
      </c>
      <c r="C40" s="17"/>
      <c r="D40" s="18"/>
      <c r="E40" s="18"/>
      <c r="F40" s="18">
        <f>F36*F39</f>
        <v>9769.9983470559</v>
      </c>
    </row>
    <row r="41" ht="20.05" customHeight="1">
      <c r="B41" t="s" s="10">
        <v>36</v>
      </c>
      <c r="C41" s="17"/>
      <c r="D41" s="18"/>
      <c r="E41" s="18"/>
      <c r="F41" s="18">
        <f>F33/F43</f>
        <v>5.55335968379447</v>
      </c>
    </row>
    <row r="42" ht="20.05" customHeight="1">
      <c r="B42" t="s" s="10">
        <v>37</v>
      </c>
      <c r="C42" s="17"/>
      <c r="D42" s="18"/>
      <c r="E42" s="18"/>
      <c r="F42" s="18">
        <f>F40/F41</f>
        <v>1759.295076017890</v>
      </c>
    </row>
    <row r="43" ht="20.05" customHeight="1">
      <c r="B43" t="s" s="10">
        <v>38</v>
      </c>
      <c r="C43" s="17"/>
      <c r="D43" s="18"/>
      <c r="E43" s="18"/>
      <c r="F43" s="18">
        <f>'Share price'!C19</f>
        <v>2530</v>
      </c>
    </row>
    <row r="44" ht="20.05" customHeight="1">
      <c r="B44" t="s" s="10">
        <v>39</v>
      </c>
      <c r="C44" s="17"/>
      <c r="D44" s="18"/>
      <c r="E44" s="18"/>
      <c r="F44" s="16">
        <f>F42/F43-1</f>
        <v>-0.304626452166842</v>
      </c>
    </row>
    <row r="45" ht="20.05" customHeight="1">
      <c r="B45" t="s" s="10">
        <v>40</v>
      </c>
      <c r="C45" s="17"/>
      <c r="D45" s="18"/>
      <c r="E45" s="18"/>
      <c r="F45" s="16">
        <f>'Sales'!C30/'Sales'!C26-1</f>
        <v>0.668695316575413</v>
      </c>
    </row>
    <row r="46" ht="20.05" customHeight="1">
      <c r="B46" t="s" s="10">
        <v>41</v>
      </c>
      <c r="C46" s="17"/>
      <c r="D46" s="18"/>
      <c r="E46" s="18"/>
      <c r="F46" s="16">
        <f>('Sales'!D24+'Sales'!D30+'Sales'!D25+'Sales'!D26+'Sales'!D27+'Sales'!D28+'Sales'!D29)/('Sales'!C24+'Sales'!C25+'Sales'!C26+'Sales'!C27+'Sales'!C28+'Sales'!C30+'Sales'!C29)-1</f>
        <v>-0.0643643457881619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63281" style="23" customWidth="1"/>
    <col min="2" max="2" width="7.67969" style="23" customWidth="1"/>
    <col min="3" max="11" width="10.5469" style="23" customWidth="1"/>
    <col min="12" max="16384" width="16.3516" style="23" customWidth="1"/>
  </cols>
  <sheetData>
    <row r="1" ht="31.5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</v>
      </c>
      <c r="D3" t="s" s="4">
        <v>34</v>
      </c>
      <c r="E3" t="s" s="4">
        <v>23</v>
      </c>
      <c r="F3" t="s" s="4">
        <v>42</v>
      </c>
      <c r="G3" t="s" s="4">
        <v>42</v>
      </c>
      <c r="H3" t="s" s="4">
        <v>43</v>
      </c>
      <c r="I3" t="s" s="4">
        <v>44</v>
      </c>
      <c r="J3" t="s" s="4">
        <v>45</v>
      </c>
      <c r="K3" t="s" s="4">
        <v>45</v>
      </c>
    </row>
    <row r="4" ht="20.25" customHeight="1">
      <c r="B4" s="24">
        <v>2015</v>
      </c>
      <c r="C4" s="25">
        <v>1015</v>
      </c>
      <c r="D4" s="26"/>
      <c r="E4" s="26">
        <v>10.25</v>
      </c>
      <c r="F4" s="26">
        <v>45.2</v>
      </c>
      <c r="G4" s="26"/>
      <c r="H4" s="27"/>
      <c r="I4" s="27">
        <f>(E4+F4-C4)/C4</f>
        <v>-0.945369458128079</v>
      </c>
      <c r="J4" s="27"/>
      <c r="K4" s="27">
        <f>('Cashflow '!D4-'Cashflow '!C4)/'Cashflow '!C4</f>
        <v>-1.08041550998478</v>
      </c>
    </row>
    <row r="5" ht="20.05" customHeight="1">
      <c r="B5" s="28"/>
      <c r="C5" s="17">
        <v>1093.7</v>
      </c>
      <c r="D5" s="18"/>
      <c r="E5" s="18">
        <v>10.28</v>
      </c>
      <c r="F5" s="18">
        <v>34.6</v>
      </c>
      <c r="G5" s="18"/>
      <c r="H5" s="16">
        <f>C5/C4-1</f>
        <v>0.0775369458128079</v>
      </c>
      <c r="I5" s="16">
        <f>(E5+F5-C5)/C5</f>
        <v>-0.958964981256286</v>
      </c>
      <c r="J5" s="16"/>
      <c r="K5" s="16">
        <f>('Cashflow '!D5-'Cashflow '!C5)/'Cashflow '!C5</f>
        <v>-1.16813276503129</v>
      </c>
    </row>
    <row r="6" ht="20.05" customHeight="1">
      <c r="B6" s="28"/>
      <c r="C6" s="17">
        <v>1365.3</v>
      </c>
      <c r="D6" s="18"/>
      <c r="E6" s="18">
        <v>12.27</v>
      </c>
      <c r="F6" s="18">
        <v>86.90000000000001</v>
      </c>
      <c r="G6" s="18"/>
      <c r="H6" s="16">
        <f>C6/C5-1</f>
        <v>0.24833135229039</v>
      </c>
      <c r="I6" s="16">
        <f>(E6+F6-C6)/C6</f>
        <v>-0.927363949315169</v>
      </c>
      <c r="J6" s="16"/>
      <c r="K6" s="16">
        <f>('Cashflow '!D6-'Cashflow '!C6)/'Cashflow '!C6</f>
        <v>-0.994488318525831</v>
      </c>
    </row>
    <row r="7" ht="20.05" customHeight="1">
      <c r="B7" s="28"/>
      <c r="C7" s="17">
        <v>1386.3</v>
      </c>
      <c r="D7" s="18"/>
      <c r="E7" s="18">
        <v>16.3</v>
      </c>
      <c r="F7" s="18">
        <v>98.8</v>
      </c>
      <c r="G7" s="18">
        <f>AVERAGE(F4:F7)</f>
        <v>66.375</v>
      </c>
      <c r="H7" s="16">
        <f>C7/C6-1</f>
        <v>0.01538123489343</v>
      </c>
      <c r="I7" s="16">
        <f>(E7+F7-C7)/C7</f>
        <v>-0.916973238115848</v>
      </c>
      <c r="J7" s="16"/>
      <c r="K7" s="16">
        <f>('Cashflow '!D7-'Cashflow '!C7)/'Cashflow '!C7</f>
        <v>-0.742376811594203</v>
      </c>
    </row>
    <row r="8" ht="20.05" customHeight="1">
      <c r="B8" s="29">
        <v>2016</v>
      </c>
      <c r="C8" s="17">
        <v>1138.6</v>
      </c>
      <c r="D8" s="18"/>
      <c r="E8" s="18">
        <v>12.2</v>
      </c>
      <c r="F8" s="18">
        <v>42.8</v>
      </c>
      <c r="G8" s="18">
        <f>AVERAGE(F5:F8)</f>
        <v>65.77500000000001</v>
      </c>
      <c r="H8" s="16">
        <f>C8/C7-1</f>
        <v>-0.17867705402871</v>
      </c>
      <c r="I8" s="16">
        <f>(E8+F8-C8)/C8</f>
        <v>-0.951695064113824</v>
      </c>
      <c r="J8" s="16">
        <f>AVERAGE(K5:K8)</f>
        <v>-1.0309648518677</v>
      </c>
      <c r="K8" s="16">
        <f>('Cashflow '!D8-'Cashflow '!C8)/'Cashflow '!C8</f>
        <v>-1.21886151231946</v>
      </c>
    </row>
    <row r="9" ht="20.05" customHeight="1">
      <c r="B9" s="28"/>
      <c r="C9" s="17">
        <v>1351.3</v>
      </c>
      <c r="D9" s="18"/>
      <c r="E9" s="18">
        <v>12.29</v>
      </c>
      <c r="F9" s="18">
        <v>52.7</v>
      </c>
      <c r="G9" s="18">
        <f>AVERAGE(F6:F9)</f>
        <v>70.3</v>
      </c>
      <c r="H9" s="16">
        <f>C9/C8-1</f>
        <v>0.186808361145266</v>
      </c>
      <c r="I9" s="16">
        <f>(E9+F9-C9)/C9</f>
        <v>-0.951905572411752</v>
      </c>
      <c r="J9" s="16">
        <f>AVERAGE(K6:K9)</f>
        <v>-1.00004750388074</v>
      </c>
      <c r="K9" s="16">
        <f>('Cashflow '!D9-'Cashflow '!C9)/'Cashflow '!C9</f>
        <v>-1.04446337308348</v>
      </c>
    </row>
    <row r="10" ht="20.05" customHeight="1">
      <c r="B10" s="28"/>
      <c r="C10" s="17">
        <v>1477.8</v>
      </c>
      <c r="D10" s="18"/>
      <c r="E10" s="18">
        <v>12.41</v>
      </c>
      <c r="F10" s="18">
        <v>81.5</v>
      </c>
      <c r="G10" s="18">
        <f>AVERAGE(F7:F10)</f>
        <v>68.95</v>
      </c>
      <c r="H10" s="16">
        <f>C10/C9-1</f>
        <v>0.09361355731517799</v>
      </c>
      <c r="I10" s="16">
        <f>(E10+F10-C10)/C10</f>
        <v>-0.93645283529571</v>
      </c>
      <c r="J10" s="16">
        <f>AVERAGE(K7:K10)</f>
        <v>-1.00471942265658</v>
      </c>
      <c r="K10" s="16">
        <f>('Cashflow '!D10-'Cashflow '!C10)/'Cashflow '!C10</f>
        <v>-1.01317599362919</v>
      </c>
    </row>
    <row r="11" ht="20.05" customHeight="1">
      <c r="B11" s="28"/>
      <c r="C11" s="17">
        <v>1843.8</v>
      </c>
      <c r="D11" s="18"/>
      <c r="E11" s="18">
        <v>16.5</v>
      </c>
      <c r="F11" s="18">
        <v>94.5</v>
      </c>
      <c r="G11" s="18">
        <f>AVERAGE(F8:F11)</f>
        <v>67.875</v>
      </c>
      <c r="H11" s="16">
        <f>C11/C10-1</f>
        <v>0.24766544863987</v>
      </c>
      <c r="I11" s="16">
        <f>(E11+F11-C11)/C11</f>
        <v>-0.939798242759518</v>
      </c>
      <c r="J11" s="16">
        <f>AVERAGE(K8:K11)</f>
        <v>-1.01227756283256</v>
      </c>
      <c r="K11" s="16">
        <f>('Cashflow '!D11-'Cashflow '!C11)/'Cashflow '!C11</f>
        <v>-0.772609372298115</v>
      </c>
    </row>
    <row r="12" ht="20.05" customHeight="1">
      <c r="B12" s="29">
        <v>2017</v>
      </c>
      <c r="C12" s="17">
        <v>1197.9</v>
      </c>
      <c r="D12" s="18"/>
      <c r="E12" s="18">
        <v>15.2</v>
      </c>
      <c r="F12" s="18">
        <v>30.7</v>
      </c>
      <c r="G12" s="18">
        <f>AVERAGE(F9:F12)</f>
        <v>64.84999999999999</v>
      </c>
      <c r="H12" s="16">
        <f>C12/C11-1</f>
        <v>-0.350309144158802</v>
      </c>
      <c r="I12" s="16">
        <f>(E12+F12-C12)/C12</f>
        <v>-0.96168294515402</v>
      </c>
      <c r="J12" s="16">
        <f>AVERAGE(K9:K12)</f>
        <v>-1.01126560329289</v>
      </c>
      <c r="K12" s="16">
        <f>('Cashflow '!D12-'Cashflow '!C12)/'Cashflow '!C12</f>
        <v>-1.21481367416076</v>
      </c>
    </row>
    <row r="13" ht="20.05" customHeight="1">
      <c r="B13" s="28"/>
      <c r="C13" s="17">
        <v>1437.6</v>
      </c>
      <c r="D13" s="18"/>
      <c r="E13" s="18">
        <v>15.4</v>
      </c>
      <c r="F13" s="18">
        <v>67.3</v>
      </c>
      <c r="G13" s="18">
        <f>AVERAGE(F10:F13)</f>
        <v>68.5</v>
      </c>
      <c r="H13" s="16">
        <f>C13/C12-1</f>
        <v>0.200100175306787</v>
      </c>
      <c r="I13" s="16">
        <f>(E13+F13-C13)/C13</f>
        <v>-0.942473567056205</v>
      </c>
      <c r="J13" s="16">
        <f>AVERAGE(K10:K13)</f>
        <v>-1.02088082594067</v>
      </c>
      <c r="K13" s="16">
        <f>('Cashflow '!D13-'Cashflow '!C13)/'Cashflow '!C13</f>
        <v>-1.08292426367461</v>
      </c>
    </row>
    <row r="14" ht="20.05" customHeight="1">
      <c r="B14" s="28"/>
      <c r="C14" s="17">
        <v>1666.4</v>
      </c>
      <c r="D14" s="18"/>
      <c r="E14" s="18">
        <v>16.2</v>
      </c>
      <c r="F14" s="18">
        <v>98</v>
      </c>
      <c r="G14" s="18">
        <f>AVERAGE(F11:F14)</f>
        <v>72.625</v>
      </c>
      <c r="H14" s="16">
        <f>C14/C13-1</f>
        <v>0.159154145798553</v>
      </c>
      <c r="I14" s="16">
        <f>(E14+F14-C14)/C14</f>
        <v>-0.931469035045607</v>
      </c>
      <c r="J14" s="16">
        <f>AVERAGE(K11:K14)</f>
        <v>-1.02852815614758</v>
      </c>
      <c r="K14" s="16">
        <f>('Cashflow '!D14-'Cashflow '!C14)/'Cashflow '!C14</f>
        <v>-1.04376531445685</v>
      </c>
    </row>
    <row r="15" ht="20.05" customHeight="1">
      <c r="B15" s="28"/>
      <c r="C15" s="17">
        <v>1953.1</v>
      </c>
      <c r="D15" s="18"/>
      <c r="E15" s="18">
        <v>18</v>
      </c>
      <c r="F15" s="18">
        <v>135.7</v>
      </c>
      <c r="G15" s="18">
        <f>AVERAGE(F12:F15)</f>
        <v>82.925</v>
      </c>
      <c r="H15" s="16">
        <f>C15/C14-1</f>
        <v>0.172047527604417</v>
      </c>
      <c r="I15" s="16">
        <f>(E15+F15-C15)/C15</f>
        <v>-0.921304592698787</v>
      </c>
      <c r="J15" s="16">
        <f>AVERAGE(K12:K15)</f>
        <v>-1.03758883235609</v>
      </c>
      <c r="K15" s="16">
        <f>('Cashflow '!D15-'Cashflow '!C15)/'Cashflow '!C15</f>
        <v>-0.808852077132134</v>
      </c>
    </row>
    <row r="16" ht="20.05" customHeight="1">
      <c r="B16" s="29">
        <v>2018</v>
      </c>
      <c r="C16" s="17">
        <v>1552</v>
      </c>
      <c r="D16" s="18"/>
      <c r="E16" s="18">
        <v>18.18</v>
      </c>
      <c r="F16" s="18">
        <v>37</v>
      </c>
      <c r="G16" s="18">
        <f>AVERAGE(F13:F16)</f>
        <v>84.5</v>
      </c>
      <c r="H16" s="16">
        <f>C16/C15-1</f>
        <v>-0.205365828682607</v>
      </c>
      <c r="I16" s="16">
        <f>(E16+F16-C16)/C16</f>
        <v>-0.96444587628866</v>
      </c>
      <c r="J16" s="16">
        <f>AVERAGE(K13:K16)</f>
        <v>-1.0485320270394</v>
      </c>
      <c r="K16" s="16">
        <f>('Cashflow '!D16-'Cashflow '!C16)/'Cashflow '!C16</f>
        <v>-1.25858645289402</v>
      </c>
    </row>
    <row r="17" ht="20.05" customHeight="1">
      <c r="B17" s="28"/>
      <c r="C17" s="17">
        <v>2257</v>
      </c>
      <c r="D17" s="18"/>
      <c r="E17" s="18">
        <v>17.14</v>
      </c>
      <c r="F17" s="18">
        <v>138.5</v>
      </c>
      <c r="G17" s="18">
        <f>AVERAGE(F14:F17)</f>
        <v>102.3</v>
      </c>
      <c r="H17" s="16">
        <f>C17/C16-1</f>
        <v>0.454252577319588</v>
      </c>
      <c r="I17" s="16">
        <f>(E17+F17-C17)/C17</f>
        <v>-0.931041205139566</v>
      </c>
      <c r="J17" s="16">
        <f>AVERAGE(K14:K17)</f>
        <v>-1.08164668839852</v>
      </c>
      <c r="K17" s="16">
        <f>('Cashflow '!D17-'Cashflow '!C17)/'Cashflow '!C17</f>
        <v>-1.21538290911107</v>
      </c>
    </row>
    <row r="18" ht="20.05" customHeight="1">
      <c r="B18" s="28"/>
      <c r="C18" s="17">
        <v>2191</v>
      </c>
      <c r="D18" s="18"/>
      <c r="E18" s="18">
        <v>18.2</v>
      </c>
      <c r="F18" s="18">
        <v>142.5</v>
      </c>
      <c r="G18" s="18">
        <f>AVERAGE(F15:F18)</f>
        <v>113.425</v>
      </c>
      <c r="H18" s="16">
        <f>C18/C17-1</f>
        <v>-0.0292423571112096</v>
      </c>
      <c r="I18" s="16">
        <f>(E18+F18-C18)/C18</f>
        <v>-0.92665449566408</v>
      </c>
      <c r="J18" s="16">
        <f>AVERAGE(K15:K18)</f>
        <v>-1.09666031626195</v>
      </c>
      <c r="K18" s="16">
        <f>('Cashflow '!D18-'Cashflow '!C18)/'Cashflow '!C18</f>
        <v>-1.10381982591059</v>
      </c>
    </row>
    <row r="19" ht="20.05" customHeight="1">
      <c r="B19" s="28"/>
      <c r="C19" s="30">
        <v>1636</v>
      </c>
      <c r="D19" s="18"/>
      <c r="E19" s="31">
        <v>120.38</v>
      </c>
      <c r="F19" s="31">
        <v>83.7</v>
      </c>
      <c r="G19" s="18">
        <f>AVERAGE(F16:F19)</f>
        <v>100.425</v>
      </c>
      <c r="H19" s="16">
        <f>C19/C18-1</f>
        <v>-0.253308991328161</v>
      </c>
      <c r="I19" s="16">
        <f>(E19+F19-C19)/C19</f>
        <v>-0.875256723716381</v>
      </c>
      <c r="J19" s="16">
        <f>AVERAGE(K16:K19)</f>
        <v>-1.06183469208082</v>
      </c>
      <c r="K19" s="16">
        <f>('Cashflow '!D19-'Cashflow '!C19)/'Cashflow '!C19</f>
        <v>-0.669549580407604</v>
      </c>
    </row>
    <row r="20" ht="20.05" customHeight="1">
      <c r="B20" s="29">
        <v>2019</v>
      </c>
      <c r="C20" s="17">
        <v>1814.82</v>
      </c>
      <c r="D20" s="18"/>
      <c r="E20" s="18">
        <v>34.5</v>
      </c>
      <c r="F20" s="18">
        <v>13.3</v>
      </c>
      <c r="G20" s="18">
        <f>AVERAGE(F17:F20)</f>
        <v>94.5</v>
      </c>
      <c r="H20" s="16">
        <f>C20/C19-1</f>
        <v>0.109303178484108</v>
      </c>
      <c r="I20" s="16">
        <f>(E20+F20-C20)/C20</f>
        <v>-0.973661299743225</v>
      </c>
      <c r="J20" s="16">
        <f>AVERAGE(K17:K20)</f>
        <v>-1.26081349691752</v>
      </c>
      <c r="K20" s="16">
        <f>('Cashflow '!D20-'Cashflow '!C20)/'Cashflow '!C20</f>
        <v>-2.0545016722408</v>
      </c>
    </row>
    <row r="21" ht="20.05" customHeight="1">
      <c r="B21" s="28"/>
      <c r="C21" s="17">
        <v>2709.98</v>
      </c>
      <c r="D21" s="18"/>
      <c r="E21" s="18">
        <v>35.5</v>
      </c>
      <c r="F21" s="18">
        <v>47.1</v>
      </c>
      <c r="G21" s="18">
        <f>AVERAGE(F18:F21)</f>
        <v>71.65000000000001</v>
      </c>
      <c r="H21" s="16">
        <f>C21/C20-1</f>
        <v>0.493250019285659</v>
      </c>
      <c r="I21" s="16">
        <f>(E21+F21-C21)/C21</f>
        <v>-0.969520070258821</v>
      </c>
      <c r="J21" s="16">
        <f>AVERAGE(K18:K21)</f>
        <v>-1.13169442858065</v>
      </c>
      <c r="K21" s="16">
        <f>('Cashflow '!D21-'Cashflow '!C21)/'Cashflow '!C21</f>
        <v>-0.698906635763591</v>
      </c>
    </row>
    <row r="22" ht="20.05" customHeight="1">
      <c r="B22" s="28"/>
      <c r="C22" s="17">
        <v>2354.1</v>
      </c>
      <c r="D22" s="18"/>
      <c r="E22" s="18">
        <v>34.5</v>
      </c>
      <c r="F22" s="18">
        <v>0.5</v>
      </c>
      <c r="G22" s="18">
        <f>AVERAGE(F19:F22)</f>
        <v>36.15</v>
      </c>
      <c r="H22" s="16">
        <f>C22/C21-1</f>
        <v>-0.131322002376401</v>
      </c>
      <c r="I22" s="16">
        <f>(E22+F22-C22)/C22</f>
        <v>-0.985132322331252</v>
      </c>
      <c r="J22" s="16">
        <f>AVERAGE(K19:K22)</f>
        <v>-1.13618569190035</v>
      </c>
      <c r="K22" s="16">
        <f>('Cashflow '!D22-'Cashflow '!C22)/'Cashflow '!C22</f>
        <v>-1.1217848791894</v>
      </c>
    </row>
    <row r="23" ht="20.05" customHeight="1">
      <c r="B23" s="28"/>
      <c r="C23" s="17">
        <v>2522.1</v>
      </c>
      <c r="D23" s="32"/>
      <c r="E23" s="18">
        <v>55.2</v>
      </c>
      <c r="F23" s="18">
        <v>-44.9</v>
      </c>
      <c r="G23" s="18">
        <f>AVERAGE(F20:F23)</f>
        <v>4</v>
      </c>
      <c r="H23" s="16">
        <f>C23/C22-1</f>
        <v>0.07136485280999109</v>
      </c>
      <c r="I23" s="16">
        <f>(E23+F23-C23)/C23</f>
        <v>-0.9959161016613139</v>
      </c>
      <c r="J23" s="16">
        <f>AVERAGE(K20:K23)</f>
        <v>-1.26467734710853</v>
      </c>
      <c r="K23" s="16">
        <f>('Cashflow '!D23-'Cashflow '!C23)/'Cashflow '!C23</f>
        <v>-1.18351620124032</v>
      </c>
    </row>
    <row r="24" ht="20.05" customHeight="1">
      <c r="B24" s="29">
        <v>2020</v>
      </c>
      <c r="C24" s="17">
        <v>2402.27</v>
      </c>
      <c r="D24" s="18">
        <v>2087.043</v>
      </c>
      <c r="E24" s="18">
        <v>40.5</v>
      </c>
      <c r="F24" s="18">
        <v>14.82</v>
      </c>
      <c r="G24" s="18">
        <f>AVERAGE(F21:F24)</f>
        <v>4.38</v>
      </c>
      <c r="H24" s="16">
        <f>C24/C23-1</f>
        <v>-0.0475119939732762</v>
      </c>
      <c r="I24" s="16">
        <f>(E24+F24-C24)/C24</f>
        <v>-0.976971780857272</v>
      </c>
      <c r="J24" s="16">
        <f>AVERAGE(K21:K24)</f>
        <v>-1.01720784673365</v>
      </c>
      <c r="K24" s="16">
        <f>('Cashflow '!D24-'Cashflow '!C24)/'Cashflow '!C24</f>
        <v>-1.0646236707413</v>
      </c>
    </row>
    <row r="25" ht="20.05" customHeight="1">
      <c r="B25" s="28"/>
      <c r="C25" s="17">
        <v>2285.53</v>
      </c>
      <c r="D25" s="18">
        <v>2438.982</v>
      </c>
      <c r="E25" s="18">
        <v>80.5</v>
      </c>
      <c r="F25" s="18">
        <v>36.18</v>
      </c>
      <c r="G25" s="18">
        <f>AVERAGE(F22:F25)</f>
        <v>1.65</v>
      </c>
      <c r="H25" s="16">
        <f>C25/C24-1</f>
        <v>-0.0485957032306943</v>
      </c>
      <c r="I25" s="16">
        <f>(E25+F25-C25)/C25</f>
        <v>-0.948948383963457</v>
      </c>
      <c r="J25" s="16">
        <f>AVERAGE(K22:K25)</f>
        <v>-1.09865988294043</v>
      </c>
      <c r="K25" s="16">
        <f>('Cashflow '!D25-'Cashflow '!C25)/'Cashflow '!C25</f>
        <v>-1.02471478059068</v>
      </c>
    </row>
    <row r="26" ht="20.05" customHeight="1">
      <c r="B26" s="28"/>
      <c r="C26" s="17">
        <f>7045.69-SUM(C24:C25)</f>
        <v>2357.89</v>
      </c>
      <c r="D26" s="18">
        <v>2354.1</v>
      </c>
      <c r="E26" s="18">
        <f>125.55+45.25-SUM(E24:E25)</f>
        <v>49.8</v>
      </c>
      <c r="F26" s="18">
        <f>45.33-SUM(F24:F25)</f>
        <v>-5.67</v>
      </c>
      <c r="G26" s="18">
        <f>AVERAGE(F23:F26)</f>
        <v>0.1075</v>
      </c>
      <c r="H26" s="16">
        <f>C26/C25-1</f>
        <v>0.0316600525917402</v>
      </c>
      <c r="I26" s="16">
        <f>(E26+F26-C26)/C26</f>
        <v>-0.981284114186837</v>
      </c>
      <c r="J26" s="16">
        <f>AVERAGE(K23:K26)</f>
        <v>-1.0641494916325</v>
      </c>
      <c r="K26" s="16">
        <f>('Cashflow '!D26-'Cashflow '!C26)/'Cashflow '!C26</f>
        <v>-0.983743313957702</v>
      </c>
    </row>
    <row r="27" ht="20.05" customHeight="1">
      <c r="B27" s="28"/>
      <c r="C27" s="17">
        <f>10006.2-SUM(C24:C26)</f>
        <v>2960.51</v>
      </c>
      <c r="D27" s="18">
        <v>2515.86863</v>
      </c>
      <c r="E27" s="18">
        <f>241.9-SUM(E24:E26)</f>
        <v>71.09999999999999</v>
      </c>
      <c r="F27" s="18">
        <f>20.4-SUM(F24:F26)</f>
        <v>-24.93</v>
      </c>
      <c r="G27" s="18">
        <f>AVERAGE(F24:F27)</f>
        <v>5.1</v>
      </c>
      <c r="H27" s="16">
        <f>C27/C26-1</f>
        <v>0.255575959862419</v>
      </c>
      <c r="I27" s="16">
        <f>(E27+F27-C27)/C27</f>
        <v>-0.984404714052646</v>
      </c>
      <c r="J27" s="16">
        <f>AVERAGE(K24:K27)</f>
        <v>-0.919271198867973</v>
      </c>
      <c r="K27" s="16">
        <f>('Cashflow '!D27-'Cashflow '!C27)/'Cashflow '!C27</f>
        <v>-0.60400303018221</v>
      </c>
    </row>
    <row r="28" ht="20.05" customHeight="1">
      <c r="B28" s="29">
        <v>2021</v>
      </c>
      <c r="C28" s="17">
        <v>2300</v>
      </c>
      <c r="D28" s="18">
        <v>2812.4845</v>
      </c>
      <c r="E28" s="18">
        <v>85.09999999999999</v>
      </c>
      <c r="F28" s="18">
        <v>15.18</v>
      </c>
      <c r="G28" s="18">
        <f>AVERAGE(F25:F28)</f>
        <v>5.19</v>
      </c>
      <c r="H28" s="16">
        <f>C28/C27-1</f>
        <v>-0.223106829566527</v>
      </c>
      <c r="I28" s="16">
        <f>(E28+F28-C28)/C28</f>
        <v>-0.9564</v>
      </c>
      <c r="J28" s="16">
        <f>AVERAGE(K25:K28)</f>
        <v>-0.9531711854588359</v>
      </c>
      <c r="K28" s="16">
        <f>('Cashflow '!D28-'Cashflow '!C28)/'Cashflow '!C28</f>
        <v>-1.20022361710475</v>
      </c>
    </row>
    <row r="29" ht="20.05" customHeight="1">
      <c r="B29" s="28"/>
      <c r="C29" s="17">
        <f>5559-C28</f>
        <v>3259</v>
      </c>
      <c r="D29" s="18">
        <v>2875</v>
      </c>
      <c r="E29" s="18">
        <f>107+72-E28</f>
        <v>93.90000000000001</v>
      </c>
      <c r="F29" s="18">
        <f>53.4-F28</f>
        <v>38.22</v>
      </c>
      <c r="G29" s="18">
        <f>AVERAGE(F26:F29)</f>
        <v>5.7</v>
      </c>
      <c r="H29" s="16">
        <f>C29/C28-1</f>
        <v>0.41695652173913</v>
      </c>
      <c r="I29" s="16">
        <f>(E29+F29-C29)/C29</f>
        <v>-0.959459957042037</v>
      </c>
      <c r="J29" s="16">
        <f>AVERAGE(K26:K29)</f>
        <v>-0.962960474840603</v>
      </c>
      <c r="K29" s="16">
        <f>('Cashflow '!D29-'Cashflow '!C29)/'Cashflow '!C29</f>
        <v>-1.06387193811775</v>
      </c>
    </row>
    <row r="30" ht="20.05" customHeight="1">
      <c r="B30" s="28"/>
      <c r="C30" s="17">
        <f>9493.6-SUM(C28:C29)</f>
        <v>3934.6</v>
      </c>
      <c r="D30" s="14">
        <v>3161.23</v>
      </c>
      <c r="E30" s="18">
        <f>266.1-SUM(E28:E29)</f>
        <v>87.09999999999999</v>
      </c>
      <c r="F30" s="18">
        <f>294.7-SUM(F28:F29)</f>
        <v>241.3</v>
      </c>
      <c r="G30" s="18">
        <f>AVERAGE(F27:F30)</f>
        <v>67.4425</v>
      </c>
      <c r="H30" s="16">
        <f>C30/C29-1</f>
        <v>0.207302853636085</v>
      </c>
      <c r="I30" s="16">
        <f>(E30+F30-C30)/C30</f>
        <v>-0.916535353021908</v>
      </c>
      <c r="J30" s="16">
        <f>AVERAGE(K27:K30)</f>
        <v>-0.9859810157943349</v>
      </c>
      <c r="K30" s="16">
        <f>('Cashflow '!D30-'Cashflow '!C30)/'Cashflow '!C30</f>
        <v>-1.07582547777263</v>
      </c>
    </row>
    <row r="31" ht="20.05" customHeight="1">
      <c r="B31" s="28"/>
      <c r="C31" s="17"/>
      <c r="D31" s="14">
        <f>'Model'!C6</f>
        <v>4052.638</v>
      </c>
      <c r="E31" s="18"/>
      <c r="F31" s="18"/>
      <c r="G31" s="18">
        <f>'Model'!F21</f>
        <v>75.78781405418999</v>
      </c>
      <c r="H31" s="16"/>
      <c r="I31" s="12">
        <f>'Model'!C7</f>
        <v>-0.962960474840603</v>
      </c>
      <c r="J31" s="16"/>
      <c r="K31" s="16"/>
    </row>
    <row r="32" ht="20.05" customHeight="1">
      <c r="B32" s="28"/>
      <c r="C32" s="17"/>
      <c r="D32" s="18">
        <f>'Model'!D6</f>
        <v>3931.05886</v>
      </c>
      <c r="E32" s="18"/>
      <c r="F32" s="18"/>
      <c r="G32" s="18"/>
      <c r="H32" s="16"/>
      <c r="I32" s="12"/>
      <c r="J32" s="12"/>
      <c r="K32" s="12"/>
    </row>
    <row r="33" ht="20.05" customHeight="1">
      <c r="B33" s="29">
        <v>2020</v>
      </c>
      <c r="C33" s="17"/>
      <c r="D33" s="18">
        <f>'Model'!E6</f>
        <v>4442.0965118</v>
      </c>
      <c r="E33" s="18"/>
      <c r="F33" s="18"/>
      <c r="G33" s="18"/>
      <c r="H33" s="18"/>
      <c r="I33" s="20"/>
      <c r="J33" s="20"/>
      <c r="K33" s="20"/>
    </row>
    <row r="34" ht="20.05" customHeight="1">
      <c r="B34" s="28"/>
      <c r="C34" s="17"/>
      <c r="D34" s="18">
        <f>'Model'!F6</f>
        <v>4397.675546682</v>
      </c>
      <c r="E34" s="18"/>
      <c r="F34" s="18"/>
      <c r="G34" s="18"/>
      <c r="H34" s="18"/>
      <c r="I34" s="20"/>
      <c r="J34" s="20"/>
      <c r="K34" s="20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9062" style="33" customWidth="1"/>
    <col min="2" max="2" width="7.60938" style="33" customWidth="1"/>
    <col min="3" max="3" width="12.9609" style="33" customWidth="1"/>
    <col min="4" max="4" width="10.5156" style="33" customWidth="1"/>
    <col min="5" max="5" width="12.1641" style="33" customWidth="1"/>
    <col min="6" max="12" width="11.3984" style="33" customWidth="1"/>
    <col min="13" max="16384" width="16.3516" style="33" customWidth="1"/>
  </cols>
  <sheetData>
    <row r="1" ht="12.1" customHeight="1"/>
    <row r="2" ht="27.65" customHeight="1">
      <c r="B2" t="s" s="2">
        <v>46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47</v>
      </c>
      <c r="D3" t="s" s="4">
        <v>48</v>
      </c>
      <c r="E3" t="s" s="4">
        <v>49</v>
      </c>
      <c r="F3" t="s" s="4">
        <v>50</v>
      </c>
      <c r="G3" t="s" s="4">
        <v>11</v>
      </c>
      <c r="H3" t="s" s="4">
        <v>25</v>
      </c>
      <c r="I3" t="s" s="4">
        <v>10</v>
      </c>
      <c r="J3" t="s" s="4">
        <v>51</v>
      </c>
      <c r="K3" t="s" s="4">
        <v>3</v>
      </c>
      <c r="L3" t="s" s="4">
        <v>29</v>
      </c>
    </row>
    <row r="4" ht="20.25" customHeight="1">
      <c r="B4" s="24">
        <v>2015</v>
      </c>
      <c r="C4" s="25">
        <v>1116.7</v>
      </c>
      <c r="D4" s="26">
        <v>-89.8</v>
      </c>
      <c r="E4" s="26">
        <v>-59.6</v>
      </c>
      <c r="F4" s="26"/>
      <c r="G4" s="26"/>
      <c r="H4" s="26"/>
      <c r="I4" s="26">
        <v>-73.2</v>
      </c>
      <c r="J4" s="26">
        <f>D4+E4</f>
        <v>-149.4</v>
      </c>
      <c r="K4" s="26"/>
      <c r="L4" s="26">
        <f>-I4</f>
        <v>73.2</v>
      </c>
    </row>
    <row r="5" ht="20.05" customHeight="1">
      <c r="B5" s="28"/>
      <c r="C5" s="17">
        <v>1102.7</v>
      </c>
      <c r="D5" s="18">
        <v>-185.4</v>
      </c>
      <c r="E5" s="18">
        <v>-33.2</v>
      </c>
      <c r="F5" s="18"/>
      <c r="G5" s="18"/>
      <c r="H5" s="18"/>
      <c r="I5" s="18">
        <v>98.7</v>
      </c>
      <c r="J5" s="18">
        <f>D5+E5</f>
        <v>-218.6</v>
      </c>
      <c r="K5" s="18"/>
      <c r="L5" s="18">
        <f>-I5+L4</f>
        <v>-25.5</v>
      </c>
    </row>
    <row r="6" ht="20.05" customHeight="1">
      <c r="B6" s="28"/>
      <c r="C6" s="17">
        <v>1215.6</v>
      </c>
      <c r="D6" s="18">
        <v>6.7</v>
      </c>
      <c r="E6" s="18">
        <v>-70.2</v>
      </c>
      <c r="F6" s="18"/>
      <c r="G6" s="18"/>
      <c r="H6" s="18"/>
      <c r="I6" s="18">
        <v>-4.7</v>
      </c>
      <c r="J6" s="18">
        <f>D6+E6</f>
        <v>-63.5</v>
      </c>
      <c r="K6" s="18"/>
      <c r="L6" s="18">
        <f>-I6+L5</f>
        <v>-20.8</v>
      </c>
    </row>
    <row r="7" ht="20.05" customHeight="1">
      <c r="B7" s="28"/>
      <c r="C7" s="17">
        <v>1725</v>
      </c>
      <c r="D7" s="18">
        <v>444.4</v>
      </c>
      <c r="E7" s="18">
        <v>-65.5</v>
      </c>
      <c r="F7" s="18"/>
      <c r="G7" s="18"/>
      <c r="H7" s="18"/>
      <c r="I7" s="18">
        <v>-80.59999999999999</v>
      </c>
      <c r="J7" s="18">
        <f>D7+E7</f>
        <v>378.9</v>
      </c>
      <c r="K7" s="18"/>
      <c r="L7" s="18">
        <f>-I7+L6</f>
        <v>59.8</v>
      </c>
    </row>
    <row r="8" ht="20.05" customHeight="1">
      <c r="B8" s="29">
        <v>2016</v>
      </c>
      <c r="C8" s="17">
        <v>1177</v>
      </c>
      <c r="D8" s="18">
        <v>-257.6</v>
      </c>
      <c r="E8" s="18">
        <v>-47.8</v>
      </c>
      <c r="F8" s="18"/>
      <c r="G8" s="18"/>
      <c r="H8" s="18"/>
      <c r="I8" s="18">
        <v>184.6</v>
      </c>
      <c r="J8" s="18">
        <f>D8+E8</f>
        <v>-305.4</v>
      </c>
      <c r="K8" s="18">
        <f>AVERAGE(J5:J8)</f>
        <v>-52.15</v>
      </c>
      <c r="L8" s="18">
        <f>-I8+L7</f>
        <v>-124.8</v>
      </c>
    </row>
    <row r="9" ht="20.05" customHeight="1">
      <c r="B9" s="28"/>
      <c r="C9" s="17">
        <v>1174</v>
      </c>
      <c r="D9" s="18">
        <v>-52.2</v>
      </c>
      <c r="E9" s="18">
        <v>-89.2</v>
      </c>
      <c r="F9" s="18"/>
      <c r="G9" s="18"/>
      <c r="H9" s="18"/>
      <c r="I9" s="18">
        <v>45</v>
      </c>
      <c r="J9" s="18">
        <f>D9+E9</f>
        <v>-141.4</v>
      </c>
      <c r="K9" s="18">
        <f>AVERAGE(J6:J9)</f>
        <v>-32.85</v>
      </c>
      <c r="L9" s="18">
        <f>-I9+L8</f>
        <v>-169.8</v>
      </c>
    </row>
    <row r="10" ht="20.05" customHeight="1">
      <c r="B10" s="28"/>
      <c r="C10" s="17">
        <v>1381.3</v>
      </c>
      <c r="D10" s="18">
        <v>-18.2</v>
      </c>
      <c r="E10" s="18">
        <v>-148</v>
      </c>
      <c r="F10" s="18"/>
      <c r="G10" s="18"/>
      <c r="H10" s="18"/>
      <c r="I10" s="18">
        <v>290.1</v>
      </c>
      <c r="J10" s="18">
        <f>D10+E10</f>
        <v>-166.2</v>
      </c>
      <c r="K10" s="18">
        <f>AVERAGE(J7:J10)</f>
        <v>-58.525</v>
      </c>
      <c r="L10" s="18">
        <f>-I10+L9</f>
        <v>-459.9</v>
      </c>
    </row>
    <row r="11" ht="20.05" customHeight="1">
      <c r="B11" s="28"/>
      <c r="C11" s="17">
        <v>2313.2</v>
      </c>
      <c r="D11" s="18">
        <v>526</v>
      </c>
      <c r="E11" s="18">
        <v>-193.9</v>
      </c>
      <c r="F11" s="18"/>
      <c r="G11" s="18"/>
      <c r="H11" s="18"/>
      <c r="I11" s="18">
        <v>-52.2</v>
      </c>
      <c r="J11" s="18">
        <f>D11+E11</f>
        <v>332.1</v>
      </c>
      <c r="K11" s="18">
        <f>AVERAGE(J8:J11)</f>
        <v>-70.22499999999999</v>
      </c>
      <c r="L11" s="18">
        <f>-I11+L10</f>
        <v>-407.7</v>
      </c>
    </row>
    <row r="12" ht="20.05" customHeight="1">
      <c r="B12" s="29">
        <v>2017</v>
      </c>
      <c r="C12" s="17">
        <v>1298.8</v>
      </c>
      <c r="D12" s="18">
        <v>-279</v>
      </c>
      <c r="E12" s="18">
        <v>-167</v>
      </c>
      <c r="F12" s="18"/>
      <c r="G12" s="18"/>
      <c r="H12" s="18"/>
      <c r="I12" s="18">
        <v>231.2</v>
      </c>
      <c r="J12" s="18">
        <f>D12+E12</f>
        <v>-446</v>
      </c>
      <c r="K12" s="18">
        <f>AVERAGE(J9:J12)</f>
        <v>-105.375</v>
      </c>
      <c r="L12" s="18">
        <f>-I12+L11</f>
        <v>-638.9</v>
      </c>
    </row>
    <row r="13" ht="20.05" customHeight="1">
      <c r="B13" s="28"/>
      <c r="C13" s="17">
        <v>1140.8</v>
      </c>
      <c r="D13" s="18">
        <v>-94.59999999999999</v>
      </c>
      <c r="E13" s="18">
        <v>-188.7</v>
      </c>
      <c r="F13" s="18"/>
      <c r="G13" s="18"/>
      <c r="H13" s="18"/>
      <c r="I13" s="18">
        <v>240.5</v>
      </c>
      <c r="J13" s="18">
        <f>D13+E13</f>
        <v>-283.3</v>
      </c>
      <c r="K13" s="18">
        <f>AVERAGE(J10:J13)</f>
        <v>-140.85</v>
      </c>
      <c r="L13" s="18">
        <f>-I13+L12</f>
        <v>-879.4</v>
      </c>
    </row>
    <row r="14" ht="20.05" customHeight="1">
      <c r="B14" s="28"/>
      <c r="C14" s="17">
        <v>1469.2</v>
      </c>
      <c r="D14" s="18">
        <v>-64.3</v>
      </c>
      <c r="E14" s="18">
        <v>-252.6</v>
      </c>
      <c r="F14" s="18"/>
      <c r="G14" s="18"/>
      <c r="H14" s="18"/>
      <c r="I14" s="18">
        <v>552.9</v>
      </c>
      <c r="J14" s="18">
        <f>D14+E14</f>
        <v>-316.9</v>
      </c>
      <c r="K14" s="18">
        <f>AVERAGE(J11:J14)</f>
        <v>-178.525</v>
      </c>
      <c r="L14" s="18">
        <f>-I14+L13</f>
        <v>-1432.3</v>
      </c>
    </row>
    <row r="15" ht="20.05" customHeight="1">
      <c r="B15" s="28"/>
      <c r="C15" s="17">
        <v>2318.1</v>
      </c>
      <c r="D15" s="18">
        <v>443.1</v>
      </c>
      <c r="E15" s="18">
        <v>-201.7</v>
      </c>
      <c r="F15" s="18"/>
      <c r="G15" s="18"/>
      <c r="H15" s="18"/>
      <c r="I15" s="18">
        <v>122.3</v>
      </c>
      <c r="J15" s="18">
        <f>D15+E15</f>
        <v>241.4</v>
      </c>
      <c r="K15" s="18">
        <f>AVERAGE(J12:J15)</f>
        <v>-201.2</v>
      </c>
      <c r="L15" s="18">
        <f>-I15+L14</f>
        <v>-1554.6</v>
      </c>
    </row>
    <row r="16" ht="20.05" customHeight="1">
      <c r="B16" s="29">
        <v>2018</v>
      </c>
      <c r="C16" s="17">
        <v>1359.7</v>
      </c>
      <c r="D16" s="18">
        <v>-351.6</v>
      </c>
      <c r="E16" s="18">
        <v>-378</v>
      </c>
      <c r="F16" s="18"/>
      <c r="G16" s="18"/>
      <c r="H16" s="18"/>
      <c r="I16" s="18">
        <v>440</v>
      </c>
      <c r="J16" s="18">
        <f>D16+E16</f>
        <v>-729.6</v>
      </c>
      <c r="K16" s="18">
        <f>AVERAGE(J13:J16)</f>
        <v>-272.1</v>
      </c>
      <c r="L16" s="18">
        <f>-I16+L15</f>
        <v>-1994.6</v>
      </c>
    </row>
    <row r="17" ht="20.05" customHeight="1">
      <c r="B17" s="28"/>
      <c r="C17" s="17">
        <v>1803.3</v>
      </c>
      <c r="D17" s="18">
        <v>-388.4</v>
      </c>
      <c r="E17" s="18">
        <v>-160</v>
      </c>
      <c r="F17" s="18"/>
      <c r="G17" s="18"/>
      <c r="H17" s="18"/>
      <c r="I17" s="18">
        <v>1073</v>
      </c>
      <c r="J17" s="18">
        <f>D17+E17</f>
        <v>-548.4</v>
      </c>
      <c r="K17" s="18">
        <f>AVERAGE(J14:J17)</f>
        <v>-338.375</v>
      </c>
      <c r="L17" s="18">
        <f>-I17+L16</f>
        <v>-3067.6</v>
      </c>
    </row>
    <row r="18" ht="20.05" customHeight="1">
      <c r="B18" s="28"/>
      <c r="C18" s="17">
        <v>2366.6</v>
      </c>
      <c r="D18" s="18">
        <v>-245.7</v>
      </c>
      <c r="E18" s="18">
        <v>-427.7</v>
      </c>
      <c r="F18" s="18"/>
      <c r="G18" s="18"/>
      <c r="H18" s="18"/>
      <c r="I18" s="18">
        <v>681.8</v>
      </c>
      <c r="J18" s="18">
        <f>D18+E18</f>
        <v>-673.4</v>
      </c>
      <c r="K18" s="18">
        <f>AVERAGE(J15:J18)</f>
        <v>-427.5</v>
      </c>
      <c r="L18" s="18">
        <f>-I18+L17</f>
        <v>-3749.4</v>
      </c>
    </row>
    <row r="19" ht="20.05" customHeight="1">
      <c r="B19" s="28"/>
      <c r="C19" s="30">
        <v>3503.4</v>
      </c>
      <c r="D19" s="31">
        <v>1157.7</v>
      </c>
      <c r="E19" s="31">
        <v>-597.3</v>
      </c>
      <c r="F19" s="31"/>
      <c r="G19" s="31"/>
      <c r="H19" s="31"/>
      <c r="I19" s="31">
        <v>128.2</v>
      </c>
      <c r="J19" s="18">
        <f>D19+E19</f>
        <v>560.4</v>
      </c>
      <c r="K19" s="18">
        <f>AVERAGE(J16:J19)</f>
        <v>-347.75</v>
      </c>
      <c r="L19" s="18">
        <f>-I19+L18</f>
        <v>-3877.6</v>
      </c>
    </row>
    <row r="20" ht="20.05" customHeight="1">
      <c r="B20" s="29">
        <v>2019</v>
      </c>
      <c r="C20" s="17">
        <v>1495</v>
      </c>
      <c r="D20" s="18">
        <v>-1576.48</v>
      </c>
      <c r="E20" s="18">
        <v>-1501.6</v>
      </c>
      <c r="F20" s="18"/>
      <c r="G20" s="18"/>
      <c r="H20" s="18"/>
      <c r="I20" s="18">
        <v>2217.65</v>
      </c>
      <c r="J20" s="18"/>
      <c r="K20" s="18">
        <f>AVERAGE(J17:J20)</f>
        <v>-220.466666666667</v>
      </c>
      <c r="L20" s="18">
        <f>-I20+L19</f>
        <v>-6095.25</v>
      </c>
    </row>
    <row r="21" ht="20.05" customHeight="1">
      <c r="B21" s="28"/>
      <c r="C21" s="17">
        <v>1984.7</v>
      </c>
      <c r="D21" s="18">
        <v>597.58</v>
      </c>
      <c r="E21" s="18">
        <v>-199.4</v>
      </c>
      <c r="F21" s="18"/>
      <c r="G21" s="18"/>
      <c r="H21" s="18"/>
      <c r="I21" s="18">
        <v>-444.65</v>
      </c>
      <c r="J21" s="18">
        <f>D21+E21</f>
        <v>398.18</v>
      </c>
      <c r="K21" s="18">
        <f>AVERAGE(J18:J21)</f>
        <v>95.06</v>
      </c>
      <c r="L21" s="18">
        <f>-I21+L20</f>
        <v>-5650.6</v>
      </c>
    </row>
    <row r="22" ht="20.05" customHeight="1">
      <c r="B22" s="28"/>
      <c r="C22" s="17">
        <v>3079.2</v>
      </c>
      <c r="D22" s="18">
        <v>-375</v>
      </c>
      <c r="E22" s="18">
        <v>-336.7</v>
      </c>
      <c r="F22" s="18"/>
      <c r="G22" s="18"/>
      <c r="H22" s="18"/>
      <c r="I22" s="18">
        <v>917</v>
      </c>
      <c r="J22" s="18">
        <f>D22+E22</f>
        <v>-711.7</v>
      </c>
      <c r="K22" s="18">
        <f>AVERAGE(J19:J22)</f>
        <v>82.29333333333329</v>
      </c>
      <c r="L22" s="18">
        <f>-I22+L21</f>
        <v>-6567.6</v>
      </c>
    </row>
    <row r="23" ht="20.05" customHeight="1">
      <c r="B23" s="28"/>
      <c r="C23" s="17">
        <v>2725.1</v>
      </c>
      <c r="D23" s="18">
        <v>-500.1</v>
      </c>
      <c r="E23" s="18">
        <v>-87.3</v>
      </c>
      <c r="F23" s="18"/>
      <c r="G23" s="18"/>
      <c r="H23" s="18"/>
      <c r="I23" s="18">
        <v>585</v>
      </c>
      <c r="J23" s="18">
        <f>D23+E23</f>
        <v>-587.4</v>
      </c>
      <c r="K23" s="18">
        <f>AVERAGE(J20:J23)</f>
        <v>-300.306666666667</v>
      </c>
      <c r="L23" s="18">
        <f>-I23+L22</f>
        <v>-7152.6</v>
      </c>
    </row>
    <row r="24" ht="20.05" customHeight="1">
      <c r="B24" s="29">
        <v>2020</v>
      </c>
      <c r="C24" s="17">
        <v>2465.66</v>
      </c>
      <c r="D24" s="18">
        <v>-159.34</v>
      </c>
      <c r="E24" s="18">
        <v>-148.98</v>
      </c>
      <c r="F24" s="18"/>
      <c r="G24" s="18"/>
      <c r="H24" s="18"/>
      <c r="I24" s="18">
        <v>-350.95</v>
      </c>
      <c r="J24" s="18">
        <f>D24+E24</f>
        <v>-308.32</v>
      </c>
      <c r="K24" s="18">
        <f>AVERAGE(J21:J24)</f>
        <v>-302.31</v>
      </c>
      <c r="L24" s="18">
        <f>-I24+L23</f>
        <v>-6801.65</v>
      </c>
    </row>
    <row r="25" ht="20.05" customHeight="1">
      <c r="B25" s="28"/>
      <c r="C25" s="17">
        <v>2361.34</v>
      </c>
      <c r="D25" s="18">
        <v>-58.36</v>
      </c>
      <c r="E25" s="18">
        <v>-138.15</v>
      </c>
      <c r="F25" s="18"/>
      <c r="G25" s="18"/>
      <c r="H25" s="18"/>
      <c r="I25" s="18">
        <v>117.95</v>
      </c>
      <c r="J25" s="18">
        <f>D25+E25</f>
        <v>-196.51</v>
      </c>
      <c r="K25" s="18">
        <f>AVERAGE(J22:J25)</f>
        <v>-450.9825</v>
      </c>
      <c r="L25" s="18">
        <f>-I25+L24</f>
        <v>-6919.6</v>
      </c>
    </row>
    <row r="26" ht="20.05" customHeight="1">
      <c r="B26" s="28"/>
      <c r="C26" s="17">
        <f>7586.48-SUM(C24:C25)</f>
        <v>2759.48</v>
      </c>
      <c r="D26" s="18">
        <f>-172.84-SUM(D24:D25)</f>
        <v>44.86</v>
      </c>
      <c r="E26" s="18">
        <f>-376.73-SUM(E24:E25)</f>
        <v>-89.59999999999999</v>
      </c>
      <c r="F26" s="18"/>
      <c r="G26" s="18"/>
      <c r="H26" s="18"/>
      <c r="I26" s="18">
        <f>-58.73-SUM(I24:I25)</f>
        <v>174.27</v>
      </c>
      <c r="J26" s="18">
        <f>D26+E26</f>
        <v>-44.74</v>
      </c>
      <c r="K26" s="18">
        <f>AVERAGE(J23:J26)</f>
        <v>-284.2425</v>
      </c>
      <c r="L26" s="18">
        <f>-I26+L25</f>
        <v>-7093.87</v>
      </c>
    </row>
    <row r="27" ht="20.05" customHeight="1">
      <c r="B27" s="28"/>
      <c r="C27" s="17">
        <f>10596.2-SUM(C24:C26)</f>
        <v>3009.72</v>
      </c>
      <c r="D27" s="18">
        <f>1019-SUM(D24:D26)</f>
        <v>1191.84</v>
      </c>
      <c r="E27" s="18">
        <f>-540-SUM(E24:E26)</f>
        <v>-163.27</v>
      </c>
      <c r="F27" s="18"/>
      <c r="G27" s="18"/>
      <c r="H27" s="18"/>
      <c r="I27" s="18">
        <f>-590.2-SUM(I24:I26)</f>
        <v>-531.47</v>
      </c>
      <c r="J27" s="18">
        <f>D27+E27</f>
        <v>1028.57</v>
      </c>
      <c r="K27" s="18">
        <f>AVERAGE(J24:J27)</f>
        <v>119.75</v>
      </c>
      <c r="L27" s="18">
        <f>-I27+L26</f>
        <v>-6562.4</v>
      </c>
    </row>
    <row r="28" ht="20.05" customHeight="1">
      <c r="B28" s="29">
        <v>2021</v>
      </c>
      <c r="C28" s="17">
        <v>2549</v>
      </c>
      <c r="D28" s="18">
        <v>-510.37</v>
      </c>
      <c r="E28" s="18">
        <v>-86.5</v>
      </c>
      <c r="F28" s="18"/>
      <c r="G28" s="18">
        <f>27.491-H28</f>
        <v>27.123</v>
      </c>
      <c r="H28" s="18">
        <f>-0.397+0.765</f>
        <v>0.368</v>
      </c>
      <c r="I28" s="18">
        <v>27.4</v>
      </c>
      <c r="J28" s="18">
        <f>D28+E28</f>
        <v>-596.87</v>
      </c>
      <c r="K28" s="18">
        <f>AVERAGE(J25:J28)</f>
        <v>47.6125</v>
      </c>
      <c r="L28" s="18">
        <f>-I28+L27</f>
        <v>-6589.8</v>
      </c>
    </row>
    <row r="29" ht="20.05" customHeight="1">
      <c r="B29" s="28"/>
      <c r="C29" s="17">
        <f>4876-C28</f>
        <v>2327</v>
      </c>
      <c r="D29" s="18">
        <f>-659-D28</f>
        <v>-148.63</v>
      </c>
      <c r="E29" s="18">
        <f>-180-E28</f>
        <v>-93.5</v>
      </c>
      <c r="F29" s="18">
        <v>17</v>
      </c>
      <c r="G29" s="18">
        <f>206.502-F29-H29-G28-H28</f>
        <v>173.185</v>
      </c>
      <c r="H29" s="18">
        <f>-10.472-0.702</f>
        <v>-11.174</v>
      </c>
      <c r="I29" s="18">
        <f>207-I28</f>
        <v>179.6</v>
      </c>
      <c r="J29" s="18">
        <f>D29+E29</f>
        <v>-242.13</v>
      </c>
      <c r="K29" s="18">
        <f>AVERAGE(J26:J29)</f>
        <v>36.2075</v>
      </c>
      <c r="L29" s="18">
        <f>-I29+L28</f>
        <v>-6769.4</v>
      </c>
    </row>
    <row r="30" ht="20.05" customHeight="1">
      <c r="B30" s="28"/>
      <c r="C30" s="17">
        <f>8758.6-SUM(C28:C29)</f>
        <v>3882.6</v>
      </c>
      <c r="D30" s="18">
        <f>-953.4-SUM(D28:D29)</f>
        <v>-294.4</v>
      </c>
      <c r="E30" s="18">
        <f>-320.8-SUM(E28:E29)</f>
        <v>-140.8</v>
      </c>
      <c r="F30" s="18">
        <f>2.641-F29</f>
        <v>-14.359</v>
      </c>
      <c r="G30" s="18">
        <f>680.462-F30-F29-G29-G28-H30-H29-H28</f>
        <v>242.765</v>
      </c>
      <c r="H30" s="18">
        <f>-8.384-0.702+254.64</f>
        <v>245.554</v>
      </c>
      <c r="I30" s="18">
        <f>680.5-SUM(I28:I29)</f>
        <v>473.5</v>
      </c>
      <c r="J30" s="18">
        <f>D30+E30</f>
        <v>-435.2</v>
      </c>
      <c r="K30" s="18">
        <f>AVERAGE(J27:J30)</f>
        <v>-61.4075</v>
      </c>
      <c r="L30" s="18">
        <f>-I30+L29</f>
        <v>-7242.9</v>
      </c>
    </row>
    <row r="31" ht="20.05" customHeight="1">
      <c r="B31" s="28"/>
      <c r="C31" s="17"/>
      <c r="D31" s="18"/>
      <c r="E31" s="18"/>
      <c r="F31" s="18"/>
      <c r="G31" s="18"/>
      <c r="H31" s="18"/>
      <c r="I31" s="18"/>
      <c r="J31" s="18"/>
      <c r="K31" s="18">
        <f>SUM('Model'!F9:F10)</f>
        <v>55.954480720857</v>
      </c>
      <c r="L31" s="18">
        <f>'Model'!F32</f>
        <v>-7047.500033058870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4" customWidth="1"/>
    <col min="2" max="2" width="9.53125" style="34" customWidth="1"/>
    <col min="3" max="11" width="9.98438" style="34" customWidth="1"/>
    <col min="12" max="16384" width="16.3516" style="34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52</v>
      </c>
      <c r="D3" t="s" s="4">
        <v>53</v>
      </c>
      <c r="E3" t="s" s="4">
        <v>22</v>
      </c>
      <c r="F3" t="s" s="4">
        <v>23</v>
      </c>
      <c r="G3" t="s" s="4">
        <v>11</v>
      </c>
      <c r="H3" t="s" s="4">
        <v>25</v>
      </c>
      <c r="I3" t="s" s="4">
        <v>54</v>
      </c>
      <c r="J3" t="s" s="4">
        <v>27</v>
      </c>
      <c r="K3" t="s" s="4">
        <v>34</v>
      </c>
    </row>
    <row r="4" ht="20.25" customHeight="1">
      <c r="B4" s="24">
        <v>2015</v>
      </c>
      <c r="C4" s="25">
        <v>351</v>
      </c>
      <c r="D4" s="26">
        <v>2819</v>
      </c>
      <c r="E4" s="26">
        <f>D4-C4</f>
        <v>2468</v>
      </c>
      <c r="F4" s="26">
        <f>465+27+3</f>
        <v>495</v>
      </c>
      <c r="G4" s="26">
        <v>963</v>
      </c>
      <c r="H4" s="26">
        <v>1856</v>
      </c>
      <c r="I4" s="26">
        <f>G4+H4-C4-E4</f>
        <v>0</v>
      </c>
      <c r="J4" s="26">
        <f>C4-G4</f>
        <v>-612</v>
      </c>
      <c r="K4" s="26"/>
    </row>
    <row r="5" ht="20.05" customHeight="1">
      <c r="B5" s="28"/>
      <c r="C5" s="17">
        <v>231</v>
      </c>
      <c r="D5" s="18">
        <v>2980</v>
      </c>
      <c r="E5" s="18">
        <f>D5-C5</f>
        <v>2749</v>
      </c>
      <c r="F5" s="18">
        <f>476+27+3</f>
        <v>506</v>
      </c>
      <c r="G5" s="18">
        <v>1284</v>
      </c>
      <c r="H5" s="18">
        <v>1696</v>
      </c>
      <c r="I5" s="18">
        <f>G5+H5-C5-E5</f>
        <v>0</v>
      </c>
      <c r="J5" s="18">
        <f>C5-G5</f>
        <v>-1053</v>
      </c>
      <c r="K5" s="18"/>
    </row>
    <row r="6" ht="20.05" customHeight="1">
      <c r="B6" s="28"/>
      <c r="C6" s="17">
        <v>162</v>
      </c>
      <c r="D6" s="18">
        <v>3167</v>
      </c>
      <c r="E6" s="18">
        <f>D6-C6</f>
        <v>3005</v>
      </c>
      <c r="F6" s="18">
        <f>488+27+3</f>
        <v>518</v>
      </c>
      <c r="G6" s="18">
        <v>1369</v>
      </c>
      <c r="H6" s="18">
        <v>1798</v>
      </c>
      <c r="I6" s="18">
        <f>G6+H6-C6-E6</f>
        <v>0</v>
      </c>
      <c r="J6" s="18">
        <f>C6-G6</f>
        <v>-1207</v>
      </c>
      <c r="K6" s="18"/>
    </row>
    <row r="7" ht="20.05" customHeight="1">
      <c r="B7" s="28"/>
      <c r="C7" s="17">
        <v>461</v>
      </c>
      <c r="D7" s="18">
        <v>3236</v>
      </c>
      <c r="E7" s="18">
        <f>D7-C7</f>
        <v>2775</v>
      </c>
      <c r="F7" s="18">
        <f>492+27+3.3</f>
        <v>522.3</v>
      </c>
      <c r="G7" s="18">
        <v>1374</v>
      </c>
      <c r="H7" s="35">
        <v>1862</v>
      </c>
      <c r="I7" s="18">
        <f>G7+H7-C7-E7</f>
        <v>0</v>
      </c>
      <c r="J7" s="18">
        <f>C7-G7</f>
        <v>-913</v>
      </c>
      <c r="K7" s="18"/>
    </row>
    <row r="8" ht="20.05" customHeight="1">
      <c r="B8" s="29">
        <v>2016</v>
      </c>
      <c r="C8" s="17">
        <v>340</v>
      </c>
      <c r="D8" s="18">
        <v>3669</v>
      </c>
      <c r="E8" s="18">
        <f>D8-C8</f>
        <v>3329</v>
      </c>
      <c r="F8" s="18">
        <f>503+27+3.5</f>
        <v>533.5</v>
      </c>
      <c r="G8" s="18">
        <v>1436</v>
      </c>
      <c r="H8" s="18">
        <v>2233</v>
      </c>
      <c r="I8" s="18">
        <f>G8+H8-C8-E8</f>
        <v>0</v>
      </c>
      <c r="J8" s="18">
        <f>C8-G8</f>
        <v>-1096</v>
      </c>
      <c r="K8" s="18"/>
    </row>
    <row r="9" ht="20.05" customHeight="1">
      <c r="B9" s="28"/>
      <c r="C9" s="17">
        <v>244</v>
      </c>
      <c r="D9" s="18">
        <v>3813</v>
      </c>
      <c r="E9" s="18">
        <f>D9-C9</f>
        <v>3569</v>
      </c>
      <c r="F9" s="18">
        <f>514+27+4</f>
        <v>545</v>
      </c>
      <c r="G9" s="18">
        <v>1580</v>
      </c>
      <c r="H9" s="18">
        <v>2233</v>
      </c>
      <c r="I9" s="18">
        <f>G9+H9-C9-E9</f>
        <v>0</v>
      </c>
      <c r="J9" s="18">
        <f>C9-G9</f>
        <v>-1336</v>
      </c>
      <c r="K9" s="18"/>
    </row>
    <row r="10" ht="20.05" customHeight="1">
      <c r="B10" s="28"/>
      <c r="C10" s="17">
        <v>368</v>
      </c>
      <c r="D10" s="18">
        <v>4292</v>
      </c>
      <c r="E10" s="18">
        <f>D10-C10</f>
        <v>3924</v>
      </c>
      <c r="F10" s="18">
        <f>527+27+4</f>
        <v>558</v>
      </c>
      <c r="G10" s="18">
        <v>1958</v>
      </c>
      <c r="H10" s="18">
        <v>2334</v>
      </c>
      <c r="I10" s="18">
        <f>G10+H10-C10-E10</f>
        <v>0</v>
      </c>
      <c r="J10" s="18">
        <f>C10-G10</f>
        <v>-1590</v>
      </c>
      <c r="K10" s="18"/>
    </row>
    <row r="11" ht="20.05" customHeight="1">
      <c r="B11" s="28"/>
      <c r="C11" s="17">
        <v>648</v>
      </c>
      <c r="D11" s="18">
        <v>4613</v>
      </c>
      <c r="E11" s="18">
        <f>D11-C11</f>
        <v>3965</v>
      </c>
      <c r="F11" s="18">
        <f>28+541+5</f>
        <v>574</v>
      </c>
      <c r="G11" s="18">
        <v>2341</v>
      </c>
      <c r="H11" s="18">
        <v>2272</v>
      </c>
      <c r="I11" s="18">
        <f>G11+H11-C11-E11</f>
        <v>0</v>
      </c>
      <c r="J11" s="18">
        <f>C11-G11</f>
        <v>-1693</v>
      </c>
      <c r="K11" s="18"/>
    </row>
    <row r="12" ht="20.05" customHeight="1">
      <c r="B12" s="29">
        <v>2017</v>
      </c>
      <c r="C12" s="17">
        <v>433</v>
      </c>
      <c r="D12" s="18">
        <v>4483</v>
      </c>
      <c r="E12" s="18">
        <f>D12-C12</f>
        <v>4050</v>
      </c>
      <c r="F12" s="18">
        <f>556+28+5</f>
        <v>589</v>
      </c>
      <c r="G12" s="18">
        <v>2189</v>
      </c>
      <c r="H12" s="18">
        <v>2294</v>
      </c>
      <c r="I12" s="18">
        <f>G12+H12-C12-E12</f>
        <v>0</v>
      </c>
      <c r="J12" s="18">
        <f>C12-G12</f>
        <v>-1756</v>
      </c>
      <c r="K12" s="18"/>
    </row>
    <row r="13" ht="20.05" customHeight="1">
      <c r="B13" s="28"/>
      <c r="C13" s="17">
        <v>390</v>
      </c>
      <c r="D13" s="18">
        <v>4975</v>
      </c>
      <c r="E13" s="18">
        <f>D13-C13</f>
        <v>4585</v>
      </c>
      <c r="F13" s="18">
        <f>571+28+6</f>
        <v>605</v>
      </c>
      <c r="G13" s="18">
        <v>2672</v>
      </c>
      <c r="H13" s="18">
        <v>2303</v>
      </c>
      <c r="I13" s="18">
        <f>G13+H13-C13-E13</f>
        <v>0</v>
      </c>
      <c r="J13" s="18">
        <f>C13-G13</f>
        <v>-2282</v>
      </c>
      <c r="K13" s="18"/>
    </row>
    <row r="14" ht="20.05" customHeight="1">
      <c r="B14" s="28"/>
      <c r="C14" s="17">
        <v>626</v>
      </c>
      <c r="D14" s="18">
        <v>5683</v>
      </c>
      <c r="E14" s="18">
        <f>D14-C14</f>
        <v>5057</v>
      </c>
      <c r="F14" s="18">
        <f>587+28+6</f>
        <v>621</v>
      </c>
      <c r="G14" s="18">
        <v>3258</v>
      </c>
      <c r="H14" s="18">
        <v>2425</v>
      </c>
      <c r="I14" s="18">
        <f>G14+H14-C14-E14</f>
        <v>0</v>
      </c>
      <c r="J14" s="18">
        <f>C14-G14</f>
        <v>-2632</v>
      </c>
      <c r="K14" s="18"/>
    </row>
    <row r="15" ht="20.05" customHeight="1">
      <c r="B15" s="28"/>
      <c r="C15" s="30">
        <v>1137</v>
      </c>
      <c r="D15" s="31">
        <v>7272</v>
      </c>
      <c r="E15" s="31">
        <f>D15-C15</f>
        <v>6135</v>
      </c>
      <c r="F15" s="31">
        <f>719.4+18.4</f>
        <v>737.8</v>
      </c>
      <c r="G15" s="18">
        <v>3998</v>
      </c>
      <c r="H15" s="31">
        <v>3274</v>
      </c>
      <c r="I15" s="18">
        <f>G15+H15-C15-E15</f>
        <v>0</v>
      </c>
      <c r="J15" s="18">
        <f>C15-G15</f>
        <v>-2861</v>
      </c>
      <c r="K15" s="18"/>
    </row>
    <row r="16" ht="20.05" customHeight="1">
      <c r="B16" s="29">
        <v>2018</v>
      </c>
      <c r="C16" s="17">
        <v>700</v>
      </c>
      <c r="D16" s="18">
        <v>6495</v>
      </c>
      <c r="E16" s="18">
        <f>D16-C16</f>
        <v>5795</v>
      </c>
      <c r="F16" s="18">
        <f>622+28+5</f>
        <v>655</v>
      </c>
      <c r="G16" s="18">
        <v>3886</v>
      </c>
      <c r="H16" s="18">
        <v>2609</v>
      </c>
      <c r="I16" s="18">
        <f>G16+H16-C16-E16</f>
        <v>0</v>
      </c>
      <c r="J16" s="18">
        <f>C16-G16</f>
        <v>-3186</v>
      </c>
      <c r="K16" s="18"/>
    </row>
    <row r="17" ht="20.05" customHeight="1">
      <c r="B17" s="28"/>
      <c r="C17" s="17">
        <v>1240</v>
      </c>
      <c r="D17" s="18">
        <v>7941</v>
      </c>
      <c r="E17" s="18">
        <f>D17-C17</f>
        <v>6701</v>
      </c>
      <c r="F17" s="18">
        <f>639+28+6</f>
        <v>673</v>
      </c>
      <c r="G17" s="18">
        <v>5268</v>
      </c>
      <c r="H17" s="18">
        <v>2673</v>
      </c>
      <c r="I17" s="18">
        <f>G17+H17-C17-E17</f>
        <v>0</v>
      </c>
      <c r="J17" s="18">
        <f>C17-G17</f>
        <v>-4028</v>
      </c>
      <c r="K17" s="18"/>
    </row>
    <row r="18" ht="20.05" customHeight="1">
      <c r="B18" s="28"/>
      <c r="C18" s="17">
        <v>1364</v>
      </c>
      <c r="D18" s="18">
        <v>8626</v>
      </c>
      <c r="E18" s="18">
        <f>D18-C18</f>
        <v>7262</v>
      </c>
      <c r="F18" s="18">
        <f>656+28+6</f>
        <v>690</v>
      </c>
      <c r="G18" s="18">
        <v>5842</v>
      </c>
      <c r="H18" s="18">
        <v>2784</v>
      </c>
      <c r="I18" s="18">
        <f>G18+H18-C18-E18</f>
        <v>0</v>
      </c>
      <c r="J18" s="18">
        <f>C18-G18</f>
        <v>-4478</v>
      </c>
      <c r="K18" s="18"/>
    </row>
    <row r="19" ht="20.05" customHeight="1">
      <c r="B19" s="28"/>
      <c r="C19" s="17">
        <v>2069</v>
      </c>
      <c r="D19" s="18">
        <v>11329</v>
      </c>
      <c r="E19" s="18">
        <f>D19-C19</f>
        <v>9260</v>
      </c>
      <c r="F19" s="18">
        <f>890+20+28</f>
        <v>938</v>
      </c>
      <c r="G19" s="18">
        <v>7183</v>
      </c>
      <c r="H19" s="18">
        <v>4146</v>
      </c>
      <c r="I19" s="18">
        <f>G19+H19-C19-E19</f>
        <v>0</v>
      </c>
      <c r="J19" s="18">
        <f>C19-G19</f>
        <v>-5114</v>
      </c>
      <c r="K19" s="18"/>
    </row>
    <row r="20" ht="20.05" customHeight="1">
      <c r="B20" s="29">
        <v>2019</v>
      </c>
      <c r="C20" s="17">
        <v>1360</v>
      </c>
      <c r="D20" s="18">
        <v>18353</v>
      </c>
      <c r="E20" s="18">
        <f>D20-C20</f>
        <v>16993</v>
      </c>
      <c r="F20" s="18">
        <f>922+28+21</f>
        <v>971</v>
      </c>
      <c r="G20" s="18">
        <v>10940</v>
      </c>
      <c r="H20" s="18">
        <v>7413</v>
      </c>
      <c r="I20" s="18">
        <f>G20+H20-C20-E20</f>
        <v>0</v>
      </c>
      <c r="J20" s="18">
        <f>C20-G20</f>
        <v>-9580</v>
      </c>
      <c r="K20" s="18"/>
    </row>
    <row r="21" ht="20.05" customHeight="1">
      <c r="B21" s="28"/>
      <c r="C21" s="17">
        <v>372</v>
      </c>
      <c r="D21" s="18">
        <v>16798</v>
      </c>
      <c r="E21" s="18">
        <f>D21-C21</f>
        <v>16426</v>
      </c>
      <c r="F21" s="18">
        <f>957+21</f>
        <v>978</v>
      </c>
      <c r="G21" s="18">
        <v>8910</v>
      </c>
      <c r="H21" s="18">
        <v>7888</v>
      </c>
      <c r="I21" s="18">
        <f>G21+H21-C21-E21</f>
        <v>0</v>
      </c>
      <c r="J21" s="18">
        <f>C21-G21</f>
        <v>-8538</v>
      </c>
      <c r="K21" s="18"/>
    </row>
    <row r="22" ht="20.05" customHeight="1">
      <c r="B22" s="28"/>
      <c r="C22" s="17">
        <v>574</v>
      </c>
      <c r="D22" s="18">
        <v>17863</v>
      </c>
      <c r="E22" s="18">
        <f>D22-C22</f>
        <v>17289</v>
      </c>
      <c r="F22" s="18">
        <f>990+22</f>
        <v>1012</v>
      </c>
      <c r="G22" s="18">
        <v>9956</v>
      </c>
      <c r="H22" s="18">
        <v>7907</v>
      </c>
      <c r="I22" s="18">
        <f>G22+H22-C22-E22</f>
        <v>0</v>
      </c>
      <c r="J22" s="18">
        <f>C22-G22</f>
        <v>-9382</v>
      </c>
      <c r="K22" s="18"/>
    </row>
    <row r="23" ht="20.05" customHeight="1">
      <c r="B23" s="28"/>
      <c r="C23" s="17">
        <v>1360</v>
      </c>
      <c r="D23" s="18">
        <v>18353</v>
      </c>
      <c r="E23" s="18">
        <f>D23-C23</f>
        <v>16993</v>
      </c>
      <c r="F23" s="18">
        <f>1038.8+22.5</f>
        <v>1061.3</v>
      </c>
      <c r="G23" s="18">
        <v>10940</v>
      </c>
      <c r="H23" s="18">
        <v>7413</v>
      </c>
      <c r="I23" s="18">
        <f>G23+H23-C23-E23</f>
        <v>0</v>
      </c>
      <c r="J23" s="18">
        <f>C23-G23</f>
        <v>-9580</v>
      </c>
      <c r="K23" s="18"/>
    </row>
    <row r="24" ht="20.05" customHeight="1">
      <c r="B24" s="29">
        <v>2020</v>
      </c>
      <c r="C24" s="17">
        <v>707</v>
      </c>
      <c r="D24" s="18">
        <v>17200</v>
      </c>
      <c r="E24" s="18">
        <f>D24-C24</f>
        <v>16493</v>
      </c>
      <c r="F24" s="18">
        <f>1079.3</f>
        <v>1079.3</v>
      </c>
      <c r="G24" s="18">
        <v>10216</v>
      </c>
      <c r="H24" s="18">
        <v>6984</v>
      </c>
      <c r="I24" s="18">
        <f>G24+H24-C24-E24</f>
        <v>0</v>
      </c>
      <c r="J24" s="18">
        <f>C24-G24</f>
        <v>-9509</v>
      </c>
      <c r="K24" s="18"/>
    </row>
    <row r="25" ht="20.05" customHeight="1">
      <c r="B25" s="28"/>
      <c r="C25" s="17">
        <v>617</v>
      </c>
      <c r="D25" s="18">
        <v>17514</v>
      </c>
      <c r="E25" s="18">
        <f>D25-C25</f>
        <v>16897</v>
      </c>
      <c r="F25" s="18">
        <f>38+1121</f>
        <v>1159</v>
      </c>
      <c r="G25" s="18">
        <v>10581</v>
      </c>
      <c r="H25" s="18">
        <v>6933</v>
      </c>
      <c r="I25" s="18">
        <f>G25+H25-C25-E25</f>
        <v>0</v>
      </c>
      <c r="J25" s="18">
        <f>C25-G25</f>
        <v>-9964</v>
      </c>
      <c r="K25" s="18"/>
    </row>
    <row r="26" ht="20.05" customHeight="1">
      <c r="B26" s="28"/>
      <c r="C26" s="17">
        <v>750</v>
      </c>
      <c r="D26" s="18">
        <v>17688</v>
      </c>
      <c r="E26" s="18">
        <f>D26-C26</f>
        <v>16938</v>
      </c>
      <c r="F26" s="18">
        <f>45+1161</f>
        <v>1206</v>
      </c>
      <c r="G26" s="18">
        <v>10773</v>
      </c>
      <c r="H26" s="18">
        <v>6915</v>
      </c>
      <c r="I26" s="18">
        <f>G26+H26-C26-E26</f>
        <v>0</v>
      </c>
      <c r="J26" s="18">
        <f>C26-G26</f>
        <v>-10023</v>
      </c>
      <c r="K26" s="18"/>
    </row>
    <row r="27" ht="20.05" customHeight="1">
      <c r="B27" s="28"/>
      <c r="C27" s="17">
        <v>1250</v>
      </c>
      <c r="D27" s="18">
        <v>17563</v>
      </c>
      <c r="E27" s="18">
        <f>D27-C27</f>
        <v>16313</v>
      </c>
      <c r="F27" s="18">
        <f>25+79+1171</f>
        <v>1275</v>
      </c>
      <c r="G27" s="18">
        <v>10457</v>
      </c>
      <c r="H27" s="18">
        <v>7106</v>
      </c>
      <c r="I27" s="18">
        <f>G27+H27-C27-E27</f>
        <v>0</v>
      </c>
      <c r="J27" s="18">
        <f>C27-G27</f>
        <v>-9207</v>
      </c>
      <c r="K27" s="18"/>
    </row>
    <row r="28" ht="20.05" customHeight="1">
      <c r="B28" s="29">
        <v>2021</v>
      </c>
      <c r="C28" s="17">
        <v>681.2</v>
      </c>
      <c r="D28" s="18">
        <v>17465.8</v>
      </c>
      <c r="E28" s="18">
        <f>D28-C28</f>
        <v>16784.6</v>
      </c>
      <c r="F28" s="18">
        <f>111+1221+26</f>
        <v>1358</v>
      </c>
      <c r="G28" s="18">
        <v>10339.6</v>
      </c>
      <c r="H28" s="18">
        <v>7126</v>
      </c>
      <c r="I28" s="18">
        <f>G28+H28-C28-E28</f>
        <v>-0.2</v>
      </c>
      <c r="J28" s="18">
        <f>C28-G28</f>
        <v>-9658.4</v>
      </c>
      <c r="K28" s="18"/>
    </row>
    <row r="29" ht="20.05" customHeight="1">
      <c r="B29" s="28"/>
      <c r="C29" s="17">
        <v>624</v>
      </c>
      <c r="D29" s="18">
        <v>17783</v>
      </c>
      <c r="E29" s="18">
        <f>D29-C29</f>
        <v>17159</v>
      </c>
      <c r="F29" s="18">
        <f>F28+'Sales'!E29</f>
        <v>1451.9</v>
      </c>
      <c r="G29" s="18">
        <v>10664</v>
      </c>
      <c r="H29" s="18">
        <v>7120</v>
      </c>
      <c r="I29" s="18">
        <f>G29+H29-C29-E29</f>
        <v>1</v>
      </c>
      <c r="J29" s="18">
        <f>C29-G29</f>
        <v>-10040</v>
      </c>
      <c r="K29" s="18"/>
    </row>
    <row r="30" ht="20.05" customHeight="1">
      <c r="B30" s="28"/>
      <c r="C30" s="17">
        <v>661</v>
      </c>
      <c r="D30" s="18">
        <v>18845</v>
      </c>
      <c r="E30" s="18">
        <f>D30-C30</f>
        <v>18184</v>
      </c>
      <c r="F30" s="18">
        <f>27+181+1327</f>
        <v>1535</v>
      </c>
      <c r="G30" s="18">
        <v>11605</v>
      </c>
      <c r="H30" s="18">
        <v>7240</v>
      </c>
      <c r="I30" s="18">
        <f>G30+H30-C30-E30</f>
        <v>0</v>
      </c>
      <c r="J30" s="18">
        <f>C30-G30</f>
        <v>-10944</v>
      </c>
      <c r="K30" s="18">
        <f>J30</f>
        <v>-10944</v>
      </c>
    </row>
    <row r="31" ht="20.05" customHeight="1">
      <c r="B31" s="28"/>
      <c r="C31" s="17"/>
      <c r="D31" s="18"/>
      <c r="E31" s="18"/>
      <c r="F31" s="18"/>
      <c r="G31" s="18"/>
      <c r="H31" s="18"/>
      <c r="I31" s="18"/>
      <c r="J31" s="18"/>
      <c r="K31" s="18">
        <f>'Model'!F30</f>
        <v>-10776.0733630863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" style="36" customWidth="1"/>
    <col min="2" max="2" width="5.26562" style="36" customWidth="1"/>
    <col min="3" max="4" width="11.0547" style="36" customWidth="1"/>
    <col min="5" max="16384" width="16.3516" style="36" customWidth="1"/>
  </cols>
  <sheetData>
    <row r="1" ht="34" customHeight="1"/>
    <row r="2" ht="28.65" customHeight="1">
      <c r="B2" t="s" s="37">
        <v>55</v>
      </c>
      <c r="C2" s="37"/>
      <c r="D2" s="37"/>
    </row>
    <row r="3" ht="20.25" customHeight="1">
      <c r="B3" s="5"/>
      <c r="C3" t="s" s="38">
        <v>55</v>
      </c>
      <c r="D3" t="s" s="38">
        <v>56</v>
      </c>
    </row>
    <row r="4" ht="20.25" customHeight="1">
      <c r="B4" s="24">
        <v>2018</v>
      </c>
      <c r="C4" s="25">
        <v>2190</v>
      </c>
      <c r="D4" s="26"/>
    </row>
    <row r="5" ht="20.05" customHeight="1">
      <c r="B5" s="28"/>
      <c r="C5" s="17">
        <v>2360</v>
      </c>
      <c r="D5" s="18"/>
    </row>
    <row r="6" ht="20.05" customHeight="1">
      <c r="B6" s="28"/>
      <c r="C6" s="17">
        <v>2550</v>
      </c>
      <c r="D6" s="18"/>
    </row>
    <row r="7" ht="20.05" customHeight="1">
      <c r="B7" s="28"/>
      <c r="C7" s="17">
        <v>2600</v>
      </c>
      <c r="D7" s="18"/>
    </row>
    <row r="8" ht="20.05" customHeight="1">
      <c r="B8" s="29">
        <v>2019</v>
      </c>
      <c r="C8" s="17">
        <v>3560</v>
      </c>
      <c r="D8" s="18"/>
    </row>
    <row r="9" ht="20.05" customHeight="1">
      <c r="B9" s="28"/>
      <c r="C9" s="17">
        <v>3360</v>
      </c>
      <c r="D9" s="18"/>
    </row>
    <row r="10" ht="20.05" customHeight="1">
      <c r="B10" s="28"/>
      <c r="C10" s="17">
        <v>2900</v>
      </c>
      <c r="D10" s="18"/>
    </row>
    <row r="11" ht="20.05" customHeight="1">
      <c r="B11" s="28"/>
      <c r="C11" s="17">
        <v>1250</v>
      </c>
      <c r="D11" s="20"/>
    </row>
    <row r="12" ht="20.05" customHeight="1">
      <c r="B12" s="29">
        <v>2020</v>
      </c>
      <c r="C12" s="17">
        <v>1310</v>
      </c>
      <c r="D12" s="18"/>
    </row>
    <row r="13" ht="20.05" customHeight="1">
      <c r="B13" s="28"/>
      <c r="C13" s="17">
        <v>1120</v>
      </c>
      <c r="D13" s="20"/>
    </row>
    <row r="14" ht="20.05" customHeight="1">
      <c r="B14" s="28"/>
      <c r="C14" s="17">
        <v>2890</v>
      </c>
      <c r="D14" s="20"/>
    </row>
    <row r="15" ht="20.05" customHeight="1">
      <c r="B15" s="28"/>
      <c r="C15" s="17">
        <v>4250</v>
      </c>
      <c r="D15" s="20"/>
    </row>
    <row r="16" ht="20.05" customHeight="1">
      <c r="B16" s="29">
        <v>2021</v>
      </c>
      <c r="C16" s="17">
        <v>2560</v>
      </c>
      <c r="D16" s="20"/>
    </row>
    <row r="17" ht="20.05" customHeight="1">
      <c r="B17" s="28"/>
      <c r="C17" s="17">
        <v>3140</v>
      </c>
      <c r="D17" s="20"/>
    </row>
    <row r="18" ht="20.05" customHeight="1">
      <c r="B18" s="28"/>
      <c r="C18" s="17">
        <v>2400</v>
      </c>
      <c r="D18" s="20"/>
    </row>
    <row r="19" ht="20.05" customHeight="1">
      <c r="B19" s="28"/>
      <c r="C19" s="17">
        <v>2530</v>
      </c>
      <c r="D19" s="18">
        <f>C19</f>
        <v>2530</v>
      </c>
    </row>
    <row r="20" ht="20.05" customHeight="1">
      <c r="B20" s="28"/>
      <c r="C20" s="17"/>
      <c r="D20" s="18">
        <f>'Model'!F42</f>
        <v>1759.295076017890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