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<sst xmlns="http://schemas.openxmlformats.org/spreadsheetml/2006/main" uniqueCount="91">
  <si>
    <t>Financial model</t>
  </si>
  <si>
    <t>Rpbn</t>
  </si>
  <si>
    <t>4Q 2022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</si>
  <si>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</si>
  <si>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</si>
  <si>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</si>
  <si>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</si>
  <si>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</si>
  <si>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</si>
  <si>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</si>
  <si>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</si>
  <si>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</si>
  <si>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</si>
  <si>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</si>
  <si>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</si>
  <si>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</si>
  <si>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</si>
  <si>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</si>
  <si>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</si>
  <si>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</si>
  <si>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</si>
  <si>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</si>
  <si>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</si>
  <si>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</si>
  <si>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</si>
  <si>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</si>
  <si>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</si>
  <si>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</si>
  <si>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</si>
  <si>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</si>
  <si>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</si>
  <si>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</si>
  <si>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</si>
  <si>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</si>
  <si>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</si>
  <si>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</si>
  <si>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</si>
  <si>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</si>
  <si>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</si>
  <si>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</si>
  <si>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</si>
  <si>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</si>
  <si>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</si>
  <si>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Profit </t>
  </si>
  <si>
    <t xml:space="preserve">Sales growth </t>
  </si>
  <si>
    <t xml:space="preserve">Cost ratio </t>
  </si>
  <si>
    <t>Cashflow</t>
  </si>
  <si>
    <t>Receipts</t>
  </si>
  <si>
    <t xml:space="preserve">Operating </t>
  </si>
  <si>
    <t xml:space="preserve">Investment </t>
  </si>
  <si>
    <t xml:space="preserve">Lease </t>
  </si>
  <si>
    <t xml:space="preserve">Free cashflow </t>
  </si>
  <si>
    <t>Cash</t>
  </si>
  <si>
    <t>Assets</t>
  </si>
  <si>
    <t>Check</t>
  </si>
  <si>
    <t>KAEF</t>
  </si>
  <si>
    <t>Target</t>
  </si>
  <si>
    <t>Capital</t>
  </si>
  <si>
    <t xml:space="preserve">Total </t>
  </si>
  <si>
    <t>Table 1-1</t>
  </si>
  <si>
    <t>Market value</t>
  </si>
  <si>
    <t xml:space="preserve">capital history </t>
  </si>
  <si>
    <t>of market value</t>
  </si>
  <si>
    <t>paid every year since 2019</t>
  </si>
  <si>
    <t xml:space="preserve">Start date </t>
  </si>
  <si>
    <t xml:space="preserve">Number of quarters </t>
  </si>
  <si>
    <t>Market value Rpbn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</si>
  <si>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</si>
  <si>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</si>
  <si>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</si>
  <si>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</si>
  <si>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</si>
  <si>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</si>
  <si>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</si>
  <si>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</si>
  <si>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</si>
  <si>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</si>
  <si>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</si>
  <si>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</si>
  <si>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</si>
  <si>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</si>
  <si>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</si>
  <si>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</si>
  <si>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>paid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</si>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</sst>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#,##0.0"/>
    <numFmt numFmtId="61" formatCode="#,##0.0%"/>
    <numFmt numFmtId="62" formatCode="[$IDR]0"/>
    <numFmt numFmtId="63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2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" fontId="0" fillId="5" borderId="6" applyNumberFormat="1" applyFont="1" applyFill="1" applyBorder="1" applyAlignment="1" applyProtection="0">
      <alignment vertical="top" wrapText="1"/>
    </xf>
    <xf numFmtId="3" fontId="0" fillId="5" borderId="7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3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  <rgbColor rgb="ffb8b8b8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'!$F$3:$F$16</c:f>
              <c:numCache>
                <c:ptCount val="14"/>
                <c:pt idx="0">
                  <c:v>0.000000</c:v>
                </c:pt>
                <c:pt idx="1">
                  <c:v>0.000000</c:v>
                </c:pt>
                <c:pt idx="2">
                  <c:v>-21.000000</c:v>
                </c:pt>
                <c:pt idx="3">
                  <c:v>-46.000000</c:v>
                </c:pt>
                <c:pt idx="4">
                  <c:v>-55.000000</c:v>
                </c:pt>
                <c:pt idx="5">
                  <c:v>-85.000000</c:v>
                </c:pt>
                <c:pt idx="6">
                  <c:v>199.000000</c:v>
                </c:pt>
                <c:pt idx="7">
                  <c:v>188.000000</c:v>
                </c:pt>
                <c:pt idx="8">
                  <c:v>686.000000</c:v>
                </c:pt>
                <c:pt idx="9">
                  <c:v>1884.000000</c:v>
                </c:pt>
                <c:pt idx="10">
                  <c:v>3820.000000</c:v>
                </c:pt>
                <c:pt idx="11">
                  <c:v>7227.000000</c:v>
                </c:pt>
                <c:pt idx="12">
                  <c:v>6676.000000</c:v>
                </c:pt>
                <c:pt idx="13">
                  <c:v>6801.362000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'!$G$3:$G$16</c:f>
              <c:numCache>
                <c:ptCount val="14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-46.000000</c:v>
                </c:pt>
                <c:pt idx="4">
                  <c:v>-80.000000</c:v>
                </c:pt>
                <c:pt idx="5">
                  <c:v>-111.000000</c:v>
                </c:pt>
                <c:pt idx="6">
                  <c:v>-165.000000</c:v>
                </c:pt>
                <c:pt idx="7">
                  <c:v>-212.000000</c:v>
                </c:pt>
                <c:pt idx="8">
                  <c:v>-241.000000</c:v>
                </c:pt>
                <c:pt idx="9">
                  <c:v>-288.000000</c:v>
                </c:pt>
                <c:pt idx="10">
                  <c:v>-380.000000</c:v>
                </c:pt>
                <c:pt idx="11">
                  <c:v>-503.000000</c:v>
                </c:pt>
                <c:pt idx="12">
                  <c:v>-535.000000</c:v>
                </c:pt>
                <c:pt idx="13">
                  <c:v>-291.600000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'!$H$3:$H$16</c:f>
              <c:numCache>
                <c:ptCount val="14"/>
                <c:pt idx="0">
                  <c:v>0.000000</c:v>
                </c:pt>
                <c:pt idx="1">
                  <c:v>0.000000</c:v>
                </c:pt>
                <c:pt idx="2">
                  <c:v>-21.000000</c:v>
                </c:pt>
                <c:pt idx="3">
                  <c:v>-92.000000</c:v>
                </c:pt>
                <c:pt idx="4">
                  <c:v>-135.000000</c:v>
                </c:pt>
                <c:pt idx="5">
                  <c:v>-196.000000</c:v>
                </c:pt>
                <c:pt idx="6">
                  <c:v>34.000000</c:v>
                </c:pt>
                <c:pt idx="7">
                  <c:v>-24.000000</c:v>
                </c:pt>
                <c:pt idx="8">
                  <c:v>445.000000</c:v>
                </c:pt>
                <c:pt idx="9">
                  <c:v>1596.000000</c:v>
                </c:pt>
                <c:pt idx="10">
                  <c:v>3440.000000</c:v>
                </c:pt>
                <c:pt idx="11">
                  <c:v>6724.000000</c:v>
                </c:pt>
                <c:pt idx="12">
                  <c:v>6141.000000</c:v>
                </c:pt>
                <c:pt idx="13">
                  <c:v>6509.762000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00"/>
        <c:minorUnit val="12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01542"/>
          <c:y val="0.0599334"/>
          <c:w val="0.37741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439829</xdr:colOff>
      <xdr:row>1</xdr:row>
      <xdr:rowOff>285368</xdr:rowOff>
    </xdr:from>
    <xdr:to>
      <xdr:col>13</xdr:col>
      <xdr:colOff>186360</xdr:colOff>
      <xdr:row>48</xdr:row>
      <xdr:rowOff>61586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19729" y="397763"/>
          <a:ext cx="8458732" cy="118456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813874</xdr:colOff>
      <xdr:row>19</xdr:row>
      <xdr:rowOff>256103</xdr:rowOff>
    </xdr:from>
    <xdr:to>
      <xdr:col>5</xdr:col>
      <xdr:colOff>586989</xdr:colOff>
      <xdr:row>28</xdr:row>
      <xdr:rowOff>384564</xdr:rowOff>
    </xdr:to>
    <xdr:graphicFrame>
      <xdr:nvGraphicFramePr>
        <xdr:cNvPr id="4" name="2D Line Chart"/>
        <xdr:cNvGraphicFramePr/>
      </xdr:nvGraphicFramePr>
      <xdr:xfrm>
        <a:off x="1626674" y="5292923"/>
        <a:ext cx="3532316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595871</xdr:colOff>
      <xdr:row>17</xdr:row>
      <xdr:rowOff>100408</xdr:rowOff>
    </xdr:from>
    <xdr:to>
      <xdr:col>5</xdr:col>
      <xdr:colOff>804992</xdr:colOff>
      <xdr:row>20</xdr:row>
      <xdr:rowOff>131095</xdr:rowOff>
    </xdr:to>
    <xdr:sp>
      <xdr:nvSpPr>
        <xdr:cNvPr id="5" name="KAEF raising 6.5 trillion rupiah after 2015…"/>
        <xdr:cNvSpPr txBox="1"/>
      </xdr:nvSpPr>
      <xdr:spPr>
        <a:xfrm>
          <a:off x="1408671" y="4528898"/>
          <a:ext cx="3968322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KAEF raising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6.5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after 2015…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8906" style="1" customWidth="1"/>
    <col min="2" max="2" width="14.7656" style="1" customWidth="1"/>
    <col min="3" max="6" width="8.92969" style="1" customWidth="1"/>
    <col min="7" max="16384" width="16.3516" style="1" customWidth="1"/>
  </cols>
  <sheetData>
    <row r="1" ht="8.8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0.037801543959059</v>
      </c>
      <c r="D4" s="8"/>
      <c r="E4" s="8"/>
      <c r="F4" s="9">
        <f>AVERAGE(C5:F5)</f>
        <v>0.0575</v>
      </c>
    </row>
    <row r="5" ht="20.05" customHeight="1">
      <c r="B5" t="s" s="10">
        <v>4</v>
      </c>
      <c r="C5" s="11">
        <v>0.2</v>
      </c>
      <c r="D5" s="12">
        <v>-0.01</v>
      </c>
      <c r="E5" s="12">
        <v>0.07000000000000001</v>
      </c>
      <c r="F5" s="12">
        <v>-0.03</v>
      </c>
    </row>
    <row r="6" ht="20.05" customHeight="1">
      <c r="B6" t="s" s="10">
        <v>5</v>
      </c>
      <c r="C6" s="13">
        <f>'Sales'!C32*(1+C5)</f>
        <v>2712.6</v>
      </c>
      <c r="D6" s="14">
        <f>C6*(1+D5)</f>
        <v>2685.474</v>
      </c>
      <c r="E6" s="14">
        <f>D6*(1+E5)</f>
        <v>2873.45718</v>
      </c>
      <c r="F6" s="14">
        <f>E6*(1+F5)</f>
        <v>2787.2534646</v>
      </c>
    </row>
    <row r="7" ht="20.05" customHeight="1">
      <c r="B7" t="s" s="10">
        <v>6</v>
      </c>
      <c r="C7" s="15">
        <f>AVERAGE('Sales'!I32)</f>
        <v>-0.948433174194099</v>
      </c>
      <c r="D7" s="16">
        <f>C7</f>
        <v>-0.948433174194099</v>
      </c>
      <c r="E7" s="16">
        <f>D7</f>
        <v>-0.948433174194099</v>
      </c>
      <c r="F7" s="16">
        <f>E7</f>
        <v>-0.948433174194099</v>
      </c>
    </row>
    <row r="8" ht="20.05" customHeight="1">
      <c r="B8" t="s" s="10">
        <v>7</v>
      </c>
      <c r="C8" s="17">
        <f>C7*C6</f>
        <v>-2572.719828318910</v>
      </c>
      <c r="D8" s="18">
        <f>D7*D6</f>
        <v>-2546.992630035720</v>
      </c>
      <c r="E8" s="18">
        <f>E7*E6</f>
        <v>-2725.282114138220</v>
      </c>
      <c r="F8" s="18">
        <f>F7*F6</f>
        <v>-2643.523650714080</v>
      </c>
    </row>
    <row r="9" ht="20.05" customHeight="1">
      <c r="B9" t="s" s="10">
        <v>8</v>
      </c>
      <c r="C9" s="17">
        <f>C6+C8</f>
        <v>139.880171681090</v>
      </c>
      <c r="D9" s="18">
        <f>D6+D8</f>
        <v>138.481369964280</v>
      </c>
      <c r="E9" s="18">
        <f>E6+E8</f>
        <v>148.175065861780</v>
      </c>
      <c r="F9" s="18">
        <f>F6+F8</f>
        <v>143.729813885920</v>
      </c>
    </row>
    <row r="10" ht="20.05" customHeight="1">
      <c r="B10" t="s" s="10">
        <v>9</v>
      </c>
      <c r="C10" s="17">
        <f>AVERAGE('Cashflow '!E32)</f>
        <v>-68.3</v>
      </c>
      <c r="D10" s="18">
        <f>C10</f>
        <v>-68.3</v>
      </c>
      <c r="E10" s="18">
        <f>D10</f>
        <v>-68.3</v>
      </c>
      <c r="F10" s="18">
        <f>E10</f>
        <v>-68.3</v>
      </c>
    </row>
    <row r="11" ht="20.05" customHeight="1">
      <c r="B11" t="s" s="10">
        <v>10</v>
      </c>
      <c r="C11" s="17">
        <f>C12+C15+C13</f>
        <v>-71.58017168108999</v>
      </c>
      <c r="D11" s="18">
        <f>D12+D15+D13</f>
        <v>-70.18136996427999</v>
      </c>
      <c r="E11" s="18">
        <f>E12+E15+E13</f>
        <v>-79.875065861780</v>
      </c>
      <c r="F11" s="18">
        <f>F12+F15+F13</f>
        <v>-75.429813885920</v>
      </c>
    </row>
    <row r="12" ht="20.05" customHeight="1">
      <c r="B12" t="s" s="10">
        <v>11</v>
      </c>
      <c r="C12" s="17">
        <f>-('Balance sheet'!G32)/20</f>
        <v>-534.1</v>
      </c>
      <c r="D12" s="18">
        <f>-C27/20</f>
        <v>-507.395</v>
      </c>
      <c r="E12" s="18">
        <f>-D27/20</f>
        <v>-482.02525</v>
      </c>
      <c r="F12" s="18">
        <f>-E27/20</f>
        <v>-457.9239875</v>
      </c>
    </row>
    <row r="13" ht="20.05" customHeight="1">
      <c r="B13" t="s" s="10">
        <v>12</v>
      </c>
      <c r="C13" s="17">
        <f>-MIN(0,C16)</f>
        <v>462.519828318910</v>
      </c>
      <c r="D13" s="18">
        <f>-MIN(C28,D16)</f>
        <v>437.213630035720</v>
      </c>
      <c r="E13" s="18">
        <f>-MIN(D28,E16)</f>
        <v>402.150184138220</v>
      </c>
      <c r="F13" s="18">
        <f>-MIN(E28,F16)</f>
        <v>382.494173614080</v>
      </c>
    </row>
    <row r="14" ht="20.05" customHeight="1">
      <c r="B14" t="s" s="10">
        <v>13</v>
      </c>
      <c r="C14" s="19">
        <v>0</v>
      </c>
      <c r="D14" s="18"/>
      <c r="E14" s="18"/>
      <c r="F14" s="18"/>
    </row>
    <row r="15" ht="20.05" customHeight="1">
      <c r="B15" t="s" s="10">
        <v>14</v>
      </c>
      <c r="C15" s="17">
        <f>IF(C22&gt;0,-C22*$C$14,0)</f>
        <v>0</v>
      </c>
      <c r="D15" s="18">
        <f>IF(D22&gt;0,-D22*$C$14,0)</f>
        <v>0</v>
      </c>
      <c r="E15" s="18">
        <f>IF(E22&gt;0,-E22*$C$14,0)</f>
        <v>0</v>
      </c>
      <c r="F15" s="18">
        <f>IF(F22&gt;0,-F22*$C$14,0)</f>
        <v>0</v>
      </c>
    </row>
    <row r="16" ht="20.05" customHeight="1">
      <c r="B16" t="s" s="10">
        <v>15</v>
      </c>
      <c r="C16" s="17">
        <f>C9+C10+C12+C15</f>
        <v>-462.519828318910</v>
      </c>
      <c r="D16" s="18">
        <f>D9+D10+D12+D15</f>
        <v>-437.213630035720</v>
      </c>
      <c r="E16" s="18">
        <f>E9+E10+E12+E15</f>
        <v>-402.150184138220</v>
      </c>
      <c r="F16" s="18">
        <f>F9+F10+F12+F15</f>
        <v>-382.494173614080</v>
      </c>
    </row>
    <row r="17" ht="20.05" customHeight="1">
      <c r="B17" t="s" s="10">
        <v>16</v>
      </c>
      <c r="C17" s="17">
        <f>'Balance sheet'!C32</f>
        <v>765</v>
      </c>
      <c r="D17" s="18">
        <f>C19</f>
        <v>765</v>
      </c>
      <c r="E17" s="18">
        <f>D19</f>
        <v>765</v>
      </c>
      <c r="F17" s="18">
        <f>E19</f>
        <v>765</v>
      </c>
    </row>
    <row r="18" ht="20.05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05" customHeight="1">
      <c r="B19" t="s" s="10">
        <v>18</v>
      </c>
      <c r="C19" s="17">
        <f>C17+C18</f>
        <v>765</v>
      </c>
      <c r="D19" s="18">
        <f>D17+D18</f>
        <v>765</v>
      </c>
      <c r="E19" s="18">
        <f>E17+E18</f>
        <v>765</v>
      </c>
      <c r="F19" s="18">
        <f>F17+F18</f>
        <v>765</v>
      </c>
    </row>
    <row r="20" ht="20.05" customHeight="1">
      <c r="B20" t="s" s="20">
        <v>19</v>
      </c>
      <c r="C20" s="17"/>
      <c r="D20" s="18"/>
      <c r="E20" s="18"/>
      <c r="F20" s="21"/>
    </row>
    <row r="21" ht="20.05" customHeight="1">
      <c r="B21" t="s" s="10">
        <v>20</v>
      </c>
      <c r="C21" s="17">
        <f>-AVERAGE('Sales'!E32)</f>
        <v>-104.6</v>
      </c>
      <c r="D21" s="18">
        <f>C21</f>
        <v>-104.6</v>
      </c>
      <c r="E21" s="18">
        <f>D21</f>
        <v>-104.6</v>
      </c>
      <c r="F21" s="18">
        <f>E21</f>
        <v>-104.6</v>
      </c>
    </row>
    <row r="22" ht="20.05" customHeight="1">
      <c r="B22" t="s" s="10">
        <v>21</v>
      </c>
      <c r="C22" s="17">
        <f>C6+C8+C21</f>
        <v>35.280171681090</v>
      </c>
      <c r="D22" s="18">
        <f>D6+D8+D21</f>
        <v>33.881369964280</v>
      </c>
      <c r="E22" s="18">
        <f>E6+E8+E21</f>
        <v>43.575065861780</v>
      </c>
      <c r="F22" s="18">
        <f>F6+F8+F21</f>
        <v>39.129813885920</v>
      </c>
    </row>
    <row r="23" ht="20.05" customHeight="1">
      <c r="B23" t="s" s="10">
        <v>22</v>
      </c>
      <c r="C23" s="17"/>
      <c r="D23" s="18"/>
      <c r="E23" s="18"/>
      <c r="F23" s="18"/>
    </row>
    <row r="24" ht="20.05" customHeight="1">
      <c r="B24" t="s" s="10">
        <v>23</v>
      </c>
      <c r="C24" s="17">
        <f>'Balance sheet'!E32+'Balance sheet'!F32-C10</f>
        <v>18973.3</v>
      </c>
      <c r="D24" s="18">
        <f>C24-D10</f>
        <v>19041.6</v>
      </c>
      <c r="E24" s="18">
        <f>D24-E10</f>
        <v>19109.9</v>
      </c>
      <c r="F24" s="18">
        <f>E24-F10</f>
        <v>19178.2</v>
      </c>
    </row>
    <row r="25" ht="20.05" customHeight="1">
      <c r="B25" t="s" s="10">
        <v>24</v>
      </c>
      <c r="C25" s="17">
        <f>'Balance sheet'!F32-C21</f>
        <v>1849.6</v>
      </c>
      <c r="D25" s="18">
        <f>C25-D21</f>
        <v>1954.2</v>
      </c>
      <c r="E25" s="18">
        <f>D25-E21</f>
        <v>2058.8</v>
      </c>
      <c r="F25" s="18">
        <f>E25-F21</f>
        <v>2163.4</v>
      </c>
    </row>
    <row r="26" ht="20.05" customHeight="1">
      <c r="B26" t="s" s="10">
        <v>25</v>
      </c>
      <c r="C26" s="17">
        <f>C24-C25</f>
        <v>17123.7</v>
      </c>
      <c r="D26" s="18">
        <f>D24-D25</f>
        <v>17087.4</v>
      </c>
      <c r="E26" s="18">
        <f>E24-E25</f>
        <v>17051.1</v>
      </c>
      <c r="F26" s="18">
        <f>F24-F25</f>
        <v>17014.8</v>
      </c>
    </row>
    <row r="27" ht="20.05" customHeight="1">
      <c r="B27" t="s" s="10">
        <v>11</v>
      </c>
      <c r="C27" s="17">
        <f>'Balance sheet'!G32+C12</f>
        <v>10147.9</v>
      </c>
      <c r="D27" s="18">
        <f>C27+D12</f>
        <v>9640.504999999999</v>
      </c>
      <c r="E27" s="18">
        <f>D27+E12</f>
        <v>9158.47975</v>
      </c>
      <c r="F27" s="18">
        <f>E27+F12</f>
        <v>8700.5557625</v>
      </c>
    </row>
    <row r="28" ht="20.05" customHeight="1">
      <c r="B28" t="s" s="10">
        <v>12</v>
      </c>
      <c r="C28" s="17">
        <f>C13</f>
        <v>462.519828318910</v>
      </c>
      <c r="D28" s="18">
        <f>C28+D13</f>
        <v>899.733458354630</v>
      </c>
      <c r="E28" s="18">
        <f>D28+E13</f>
        <v>1301.883642492850</v>
      </c>
      <c r="F28" s="18">
        <f>E28+F13</f>
        <v>1684.377816106930</v>
      </c>
    </row>
    <row r="29" ht="20.05" customHeight="1">
      <c r="B29" t="s" s="10">
        <v>26</v>
      </c>
      <c r="C29" s="17">
        <f>'Balance sheet'!H32+C22+C15</f>
        <v>7278.280171681090</v>
      </c>
      <c r="D29" s="18">
        <f>C29+D22+D15</f>
        <v>7312.161541645370</v>
      </c>
      <c r="E29" s="18">
        <f>D29+E22+E15</f>
        <v>7355.736607507150</v>
      </c>
      <c r="F29" s="18">
        <f>E29+F22+F15</f>
        <v>7394.866421393070</v>
      </c>
    </row>
    <row r="30" ht="20.05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28</v>
      </c>
      <c r="C31" s="17">
        <f>C19-C27-C28</f>
        <v>-9845.419828318911</v>
      </c>
      <c r="D31" s="18">
        <f>D19-D27-D28</f>
        <v>-9775.238458354630</v>
      </c>
      <c r="E31" s="18">
        <f>E19-E27-E28</f>
        <v>-9695.363392492851</v>
      </c>
      <c r="F31" s="18">
        <f>F19-F27-F28</f>
        <v>-9619.933578606930</v>
      </c>
    </row>
    <row r="32" ht="20.05" customHeight="1">
      <c r="B32" t="s" s="10">
        <v>29</v>
      </c>
      <c r="C32" s="17"/>
      <c r="D32" s="18"/>
      <c r="E32" s="18"/>
      <c r="F32" s="18"/>
    </row>
    <row r="33" ht="20.05" customHeight="1">
      <c r="B33" t="s" s="10">
        <v>30</v>
      </c>
      <c r="C33" s="17">
        <f>'Cashflow '!M32-C11</f>
        <v>-7145.519828318910</v>
      </c>
      <c r="D33" s="18">
        <f>C33-D11</f>
        <v>-7075.338458354630</v>
      </c>
      <c r="E33" s="18">
        <f>D33-E11</f>
        <v>-6995.463392492850</v>
      </c>
      <c r="F33" s="18">
        <f>E33-F11</f>
        <v>-6920.033578606930</v>
      </c>
    </row>
    <row r="34" ht="20.05" customHeight="1">
      <c r="B34" t="s" s="10">
        <v>31</v>
      </c>
      <c r="C34" s="17"/>
      <c r="D34" s="18"/>
      <c r="E34" s="18"/>
      <c r="F34" s="18">
        <v>7803369820160</v>
      </c>
    </row>
    <row r="35" ht="20.05" customHeight="1">
      <c r="B35" t="s" s="10">
        <v>31</v>
      </c>
      <c r="C35" s="17"/>
      <c r="D35" s="18"/>
      <c r="E35" s="18"/>
      <c r="F35" s="18">
        <v>14050</v>
      </c>
    </row>
    <row r="36" ht="20.05" customHeight="1">
      <c r="B36" t="s" s="10">
        <v>32</v>
      </c>
      <c r="C36" s="17"/>
      <c r="D36" s="18"/>
      <c r="E36" s="18"/>
      <c r="F36" s="22">
        <f>F35/(F19+F26)</f>
        <v>0.790222612177865</v>
      </c>
    </row>
    <row r="37" ht="20.05" customHeight="1">
      <c r="B37" t="s" s="10">
        <v>33</v>
      </c>
      <c r="C37" s="17"/>
      <c r="D37" s="18"/>
      <c r="E37" s="18"/>
      <c r="F37" s="23">
        <f>-(C15+D15+E15+F15)/F35</f>
        <v>0</v>
      </c>
    </row>
    <row r="38" ht="20.05" customHeight="1">
      <c r="B38" t="s" s="10">
        <v>3</v>
      </c>
      <c r="C38" s="17"/>
      <c r="D38" s="18"/>
      <c r="E38" s="18"/>
      <c r="F38" s="18">
        <f>SUM(C9:F10)</f>
        <v>297.066421393070</v>
      </c>
    </row>
    <row r="39" ht="20.05" customHeight="1">
      <c r="B39" t="s" s="10">
        <v>34</v>
      </c>
      <c r="C39" s="17"/>
      <c r="D39" s="18"/>
      <c r="E39" s="18"/>
      <c r="F39" s="18">
        <f>'Balance sheet'!E32/F38</f>
        <v>57.7648591837795</v>
      </c>
    </row>
    <row r="40" ht="20.05" customHeight="1">
      <c r="B40" t="s" s="10">
        <v>29</v>
      </c>
      <c r="C40" s="17"/>
      <c r="D40" s="18"/>
      <c r="E40" s="18"/>
      <c r="F40" s="18">
        <f>F35/F38</f>
        <v>47.2958200193533</v>
      </c>
    </row>
    <row r="41" ht="20.05" customHeight="1">
      <c r="B41" t="s" s="10">
        <v>35</v>
      </c>
      <c r="C41" s="17"/>
      <c r="D41" s="18"/>
      <c r="E41" s="18"/>
      <c r="F41" s="18">
        <v>32</v>
      </c>
    </row>
    <row r="42" ht="20.05" customHeight="1">
      <c r="B42" t="s" s="10">
        <v>36</v>
      </c>
      <c r="C42" s="17"/>
      <c r="D42" s="18"/>
      <c r="E42" s="18"/>
      <c r="F42" s="18">
        <f>F38*F41</f>
        <v>9506.125484578241</v>
      </c>
    </row>
    <row r="43" ht="20.05" customHeight="1">
      <c r="B43" t="s" s="10">
        <v>37</v>
      </c>
      <c r="C43" s="17"/>
      <c r="D43" s="18"/>
      <c r="E43" s="18"/>
      <c r="F43" s="18">
        <f>F35/F45</f>
        <v>10</v>
      </c>
    </row>
    <row r="44" ht="20.05" customHeight="1">
      <c r="B44" t="s" s="10">
        <v>38</v>
      </c>
      <c r="C44" s="17"/>
      <c r="D44" s="18"/>
      <c r="E44" s="18"/>
      <c r="F44" s="18">
        <f>F42/F43</f>
        <v>950.612548457824</v>
      </c>
    </row>
    <row r="45" ht="20.05" customHeight="1">
      <c r="B45" t="s" s="10">
        <v>39</v>
      </c>
      <c r="C45" s="17"/>
      <c r="D45" s="18"/>
      <c r="E45" s="18"/>
      <c r="F45" s="18">
        <v>1405</v>
      </c>
    </row>
    <row r="46" ht="20.05" customHeight="1">
      <c r="B46" t="s" s="10">
        <v>40</v>
      </c>
      <c r="C46" s="17"/>
      <c r="D46" s="18"/>
      <c r="E46" s="18"/>
      <c r="F46" s="16">
        <f>F44/F45-1</f>
        <v>-0.323407438820054</v>
      </c>
    </row>
    <row r="47" ht="20.05" customHeight="1">
      <c r="B47" t="s" s="10">
        <v>41</v>
      </c>
      <c r="C47" s="17"/>
      <c r="D47" s="18"/>
      <c r="E47" s="18"/>
      <c r="F47" s="16">
        <f>'Sales'!C32/'Sales'!C28-1</f>
        <v>-0.0171739130434783</v>
      </c>
    </row>
    <row r="48" ht="20.05" customHeight="1">
      <c r="B48" t="s" s="10">
        <v>42</v>
      </c>
      <c r="C48" s="17"/>
      <c r="D48" s="18"/>
      <c r="E48" s="18"/>
      <c r="F48" s="16">
        <f>('Sales'!D24+'Sales'!D31+'Sales'!D30+'Sales'!D25+'Sales'!D26+'Sales'!D27+'Sales'!D28+'Sales'!D29)/('Sales'!C24+'Sales'!C25+'Sales'!C26+'Sales'!C27+'Sales'!C28+'Sales'!C30+'Sales'!C31+'Sales'!C29)-1</f>
        <v>-0.0247751410526684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3281" style="24" customWidth="1"/>
    <col min="2" max="2" width="7.67969" style="24" customWidth="1"/>
    <col min="3" max="10" width="10.5469" style="24" customWidth="1"/>
    <col min="11" max="16384" width="16.3516" style="24" customWidth="1"/>
  </cols>
  <sheetData>
    <row r="1" ht="31.5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35</v>
      </c>
    </row>
    <row r="4" ht="20.25" customHeight="1">
      <c r="B4" s="25">
        <v>2015</v>
      </c>
      <c r="C4" s="26">
        <v>1015</v>
      </c>
      <c r="D4" s="27"/>
      <c r="E4" s="27">
        <v>10.25</v>
      </c>
      <c r="F4" s="27">
        <v>45.2</v>
      </c>
      <c r="G4" s="28"/>
      <c r="H4" s="28">
        <f>(E4+F4-C4)/C4</f>
        <v>-0.945369458128079</v>
      </c>
      <c r="I4" s="28"/>
      <c r="J4" s="28"/>
    </row>
    <row r="5" ht="20.05" customHeight="1">
      <c r="B5" s="29"/>
      <c r="C5" s="17">
        <v>1093.7</v>
      </c>
      <c r="D5" s="18"/>
      <c r="E5" s="18">
        <v>10.28</v>
      </c>
      <c r="F5" s="18">
        <v>34.6</v>
      </c>
      <c r="G5" s="16">
        <f>C5/C4-1</f>
        <v>0.0775369458128079</v>
      </c>
      <c r="H5" s="16">
        <f>(E5+F5-C5)/C5</f>
        <v>-0.958964981256286</v>
      </c>
      <c r="I5" s="16"/>
      <c r="J5" s="16"/>
    </row>
    <row r="6" ht="20.05" customHeight="1">
      <c r="B6" s="29"/>
      <c r="C6" s="17">
        <v>1365.3</v>
      </c>
      <c r="D6" s="18"/>
      <c r="E6" s="18">
        <v>12.27</v>
      </c>
      <c r="F6" s="18">
        <v>86.90000000000001</v>
      </c>
      <c r="G6" s="16">
        <f>C6/C5-1</f>
        <v>0.24833135229039</v>
      </c>
      <c r="H6" s="16">
        <f>(E6+F6-C6)/C6</f>
        <v>-0.927363949315169</v>
      </c>
      <c r="I6" s="16"/>
      <c r="J6" s="16"/>
    </row>
    <row r="7" ht="20.05" customHeight="1">
      <c r="B7" s="29"/>
      <c r="C7" s="17">
        <v>1386.3</v>
      </c>
      <c r="D7" s="18"/>
      <c r="E7" s="18">
        <v>16.3</v>
      </c>
      <c r="F7" s="18">
        <v>98.8</v>
      </c>
      <c r="G7" s="16">
        <f>C7/C6-1</f>
        <v>0.01538123489343</v>
      </c>
      <c r="H7" s="16">
        <f>(E7+F7-C7)/C7</f>
        <v>-0.916973238115848</v>
      </c>
      <c r="I7" s="16"/>
      <c r="J7" s="16"/>
    </row>
    <row r="8" ht="20.05" customHeight="1">
      <c r="B8" s="30">
        <v>2016</v>
      </c>
      <c r="C8" s="17">
        <v>1138.6</v>
      </c>
      <c r="D8" s="18"/>
      <c r="E8" s="18">
        <v>12.2</v>
      </c>
      <c r="F8" s="18">
        <v>42.8</v>
      </c>
      <c r="G8" s="16">
        <f>C8/C7-1</f>
        <v>-0.17867705402871</v>
      </c>
      <c r="H8" s="16">
        <f>(E8+F8-C8)/C8</f>
        <v>-0.951695064113824</v>
      </c>
      <c r="I8" s="16">
        <f>AVERAGE(H5:H8)</f>
        <v>-0.938749308200282</v>
      </c>
      <c r="J8" s="16"/>
    </row>
    <row r="9" ht="20.05" customHeight="1">
      <c r="B9" s="29"/>
      <c r="C9" s="17">
        <v>1351.3</v>
      </c>
      <c r="D9" s="18"/>
      <c r="E9" s="18">
        <v>12.29</v>
      </c>
      <c r="F9" s="18">
        <v>52.7</v>
      </c>
      <c r="G9" s="16">
        <f>C9/C8-1</f>
        <v>0.186808361145266</v>
      </c>
      <c r="H9" s="16">
        <f>(E9+F9-C9)/C9</f>
        <v>-0.951905572411752</v>
      </c>
      <c r="I9" s="16">
        <f>AVERAGE(H6:H9)</f>
        <v>-0.936984455989148</v>
      </c>
      <c r="J9" s="16"/>
    </row>
    <row r="10" ht="20.05" customHeight="1">
      <c r="B10" s="29"/>
      <c r="C10" s="17">
        <v>1477.8</v>
      </c>
      <c r="D10" s="18"/>
      <c r="E10" s="18">
        <v>12.41</v>
      </c>
      <c r="F10" s="18">
        <v>81.5</v>
      </c>
      <c r="G10" s="16">
        <f>C10/C9-1</f>
        <v>0.09361355731517799</v>
      </c>
      <c r="H10" s="16">
        <f>(E10+F10-C10)/C10</f>
        <v>-0.93645283529571</v>
      </c>
      <c r="I10" s="16">
        <f>AVERAGE(H7:H10)</f>
        <v>-0.939256677484284</v>
      </c>
      <c r="J10" s="16"/>
    </row>
    <row r="11" ht="20.05" customHeight="1">
      <c r="B11" s="29"/>
      <c r="C11" s="17">
        <v>1843.8</v>
      </c>
      <c r="D11" s="18"/>
      <c r="E11" s="18">
        <v>16.5</v>
      </c>
      <c r="F11" s="18">
        <v>94.5</v>
      </c>
      <c r="G11" s="16">
        <f>C11/C10-1</f>
        <v>0.24766544863987</v>
      </c>
      <c r="H11" s="16">
        <f>(E11+F11-C11)/C11</f>
        <v>-0.939798242759518</v>
      </c>
      <c r="I11" s="16">
        <f>AVERAGE(H8:H11)</f>
        <v>-0.944962928645201</v>
      </c>
      <c r="J11" s="16"/>
    </row>
    <row r="12" ht="20.05" customHeight="1">
      <c r="B12" s="30">
        <v>2017</v>
      </c>
      <c r="C12" s="17">
        <v>1197.9</v>
      </c>
      <c r="D12" s="18"/>
      <c r="E12" s="18">
        <v>15.2</v>
      </c>
      <c r="F12" s="18">
        <v>30.7</v>
      </c>
      <c r="G12" s="16">
        <f>C12/C11-1</f>
        <v>-0.350309144158802</v>
      </c>
      <c r="H12" s="16">
        <f>(E12+F12-C12)/C12</f>
        <v>-0.96168294515402</v>
      </c>
      <c r="I12" s="16">
        <f>AVERAGE(H9:H12)</f>
        <v>-0.94745989890525</v>
      </c>
      <c r="J12" s="16"/>
    </row>
    <row r="13" ht="20.05" customHeight="1">
      <c r="B13" s="29"/>
      <c r="C13" s="17">
        <v>1437.6</v>
      </c>
      <c r="D13" s="18"/>
      <c r="E13" s="18">
        <v>15.4</v>
      </c>
      <c r="F13" s="18">
        <v>67.3</v>
      </c>
      <c r="G13" s="16">
        <f>C13/C12-1</f>
        <v>0.200100175306787</v>
      </c>
      <c r="H13" s="16">
        <f>(E13+F13-C13)/C13</f>
        <v>-0.942473567056205</v>
      </c>
      <c r="I13" s="16">
        <f>AVERAGE(H10:H13)</f>
        <v>-0.945101897566363</v>
      </c>
      <c r="J13" s="16"/>
    </row>
    <row r="14" ht="20.05" customHeight="1">
      <c r="B14" s="29"/>
      <c r="C14" s="17">
        <v>1666.4</v>
      </c>
      <c r="D14" s="18"/>
      <c r="E14" s="18">
        <v>16.2</v>
      </c>
      <c r="F14" s="18">
        <v>98</v>
      </c>
      <c r="G14" s="16">
        <f>C14/C13-1</f>
        <v>0.159154145798553</v>
      </c>
      <c r="H14" s="16">
        <f>(E14+F14-C14)/C14</f>
        <v>-0.931469035045607</v>
      </c>
      <c r="I14" s="16">
        <f>AVERAGE(H11:H14)</f>
        <v>-0.9438559475038381</v>
      </c>
      <c r="J14" s="16"/>
    </row>
    <row r="15" ht="20.05" customHeight="1">
      <c r="B15" s="29"/>
      <c r="C15" s="17">
        <v>1953.1</v>
      </c>
      <c r="D15" s="18"/>
      <c r="E15" s="18">
        <v>18</v>
      </c>
      <c r="F15" s="18">
        <v>135.7</v>
      </c>
      <c r="G15" s="16">
        <f>C15/C14-1</f>
        <v>0.172047527604417</v>
      </c>
      <c r="H15" s="16">
        <f>(E15+F15-C15)/C15</f>
        <v>-0.921304592698787</v>
      </c>
      <c r="I15" s="16">
        <f>AVERAGE(H12:H15)</f>
        <v>-0.939232534988655</v>
      </c>
      <c r="J15" s="16"/>
    </row>
    <row r="16" ht="20.05" customHeight="1">
      <c r="B16" s="30">
        <v>2018</v>
      </c>
      <c r="C16" s="17">
        <v>1552</v>
      </c>
      <c r="D16" s="18"/>
      <c r="E16" s="18">
        <v>18.18</v>
      </c>
      <c r="F16" s="18">
        <v>37</v>
      </c>
      <c r="G16" s="16">
        <f>C16/C15-1</f>
        <v>-0.205365828682607</v>
      </c>
      <c r="H16" s="16">
        <f>(E16+F16-C16)/C16</f>
        <v>-0.96444587628866</v>
      </c>
      <c r="I16" s="16">
        <f>AVERAGE(H13:H16)</f>
        <v>-0.9399232677723151</v>
      </c>
      <c r="J16" s="16"/>
    </row>
    <row r="17" ht="20.05" customHeight="1">
      <c r="B17" s="29"/>
      <c r="C17" s="17">
        <v>2257</v>
      </c>
      <c r="D17" s="18"/>
      <c r="E17" s="18">
        <v>17.14</v>
      </c>
      <c r="F17" s="18">
        <v>138.5</v>
      </c>
      <c r="G17" s="16">
        <f>C17/C16-1</f>
        <v>0.454252577319588</v>
      </c>
      <c r="H17" s="16">
        <f>(E17+F17-C17)/C17</f>
        <v>-0.931041205139566</v>
      </c>
      <c r="I17" s="16">
        <f>AVERAGE(H14:H17)</f>
        <v>-0.937065177293155</v>
      </c>
      <c r="J17" s="16"/>
    </row>
    <row r="18" ht="20.05" customHeight="1">
      <c r="B18" s="29"/>
      <c r="C18" s="17">
        <v>2191</v>
      </c>
      <c r="D18" s="18"/>
      <c r="E18" s="18">
        <v>18.2</v>
      </c>
      <c r="F18" s="18">
        <v>142.5</v>
      </c>
      <c r="G18" s="16">
        <f>C18/C17-1</f>
        <v>-0.0292423571112096</v>
      </c>
      <c r="H18" s="16">
        <f>(E18+F18-C18)/C18</f>
        <v>-0.92665449566408</v>
      </c>
      <c r="I18" s="16">
        <f>AVERAGE(H15:H18)</f>
        <v>-0.935861542447773</v>
      </c>
      <c r="J18" s="16"/>
    </row>
    <row r="19" ht="20.05" customHeight="1">
      <c r="B19" s="29"/>
      <c r="C19" s="31">
        <v>1636</v>
      </c>
      <c r="D19" s="18"/>
      <c r="E19" s="32">
        <v>120.38</v>
      </c>
      <c r="F19" s="32">
        <v>83.7</v>
      </c>
      <c r="G19" s="16">
        <f>C19/C18-1</f>
        <v>-0.253308991328161</v>
      </c>
      <c r="H19" s="16">
        <f>(E19+F19-C19)/C19</f>
        <v>-0.875256723716381</v>
      </c>
      <c r="I19" s="16">
        <f>AVERAGE(H16:H19)</f>
        <v>-0.924349575202172</v>
      </c>
      <c r="J19" s="16"/>
    </row>
    <row r="20" ht="20.05" customHeight="1">
      <c r="B20" s="30">
        <v>2019</v>
      </c>
      <c r="C20" s="17">
        <v>1814.82</v>
      </c>
      <c r="D20" s="18"/>
      <c r="E20" s="18">
        <v>34.5</v>
      </c>
      <c r="F20" s="18">
        <v>13.3</v>
      </c>
      <c r="G20" s="16">
        <f>C20/C19-1</f>
        <v>0.109303178484108</v>
      </c>
      <c r="H20" s="16">
        <f>(E20+F20-C20)/C20</f>
        <v>-0.973661299743225</v>
      </c>
      <c r="I20" s="16">
        <f>AVERAGE(H17:H20)</f>
        <v>-0.926653431065813</v>
      </c>
      <c r="J20" s="16"/>
    </row>
    <row r="21" ht="20.05" customHeight="1">
      <c r="B21" s="29"/>
      <c r="C21" s="17">
        <v>2709.98</v>
      </c>
      <c r="D21" s="18"/>
      <c r="E21" s="18">
        <v>35.5</v>
      </c>
      <c r="F21" s="18">
        <v>47.1</v>
      </c>
      <c r="G21" s="16">
        <f>C21/C20-1</f>
        <v>0.493250019285659</v>
      </c>
      <c r="H21" s="16">
        <f>(E21+F21-C21)/C21</f>
        <v>-0.969520070258821</v>
      </c>
      <c r="I21" s="16">
        <f>AVERAGE(H18:H21)</f>
        <v>-0.9362731473456271</v>
      </c>
      <c r="J21" s="16"/>
    </row>
    <row r="22" ht="20.05" customHeight="1">
      <c r="B22" s="29"/>
      <c r="C22" s="17">
        <v>2354.1</v>
      </c>
      <c r="D22" s="18"/>
      <c r="E22" s="18">
        <v>34.5</v>
      </c>
      <c r="F22" s="18">
        <v>0.5</v>
      </c>
      <c r="G22" s="16">
        <f>C22/C21-1</f>
        <v>-0.131322002376401</v>
      </c>
      <c r="H22" s="16">
        <f>(E22+F22-C22)/C22</f>
        <v>-0.985132322331252</v>
      </c>
      <c r="I22" s="16">
        <f>AVERAGE(H19:H22)</f>
        <v>-0.95089260401242</v>
      </c>
      <c r="J22" s="16"/>
    </row>
    <row r="23" ht="20.05" customHeight="1">
      <c r="B23" s="29"/>
      <c r="C23" s="17">
        <v>2522.1</v>
      </c>
      <c r="D23" s="33"/>
      <c r="E23" s="18">
        <v>55.2</v>
      </c>
      <c r="F23" s="18">
        <v>-44.9</v>
      </c>
      <c r="G23" s="16">
        <f>C23/C22-1</f>
        <v>0.07136485280999109</v>
      </c>
      <c r="H23" s="16">
        <f>(E23+F23-C23)/C23</f>
        <v>-0.9959161016613139</v>
      </c>
      <c r="I23" s="16">
        <f>AVERAGE(H20:H23)</f>
        <v>-0.981057448498653</v>
      </c>
      <c r="J23" s="16"/>
    </row>
    <row r="24" ht="20.05" customHeight="1">
      <c r="B24" s="30">
        <v>2020</v>
      </c>
      <c r="C24" s="17">
        <v>2402.27</v>
      </c>
      <c r="D24" s="18">
        <v>2087.043</v>
      </c>
      <c r="E24" s="18">
        <v>40.5</v>
      </c>
      <c r="F24" s="18">
        <v>14.82</v>
      </c>
      <c r="G24" s="16">
        <f>C24/C23-1</f>
        <v>-0.0475119939732762</v>
      </c>
      <c r="H24" s="16">
        <f>(E24+F24-C24)/C24</f>
        <v>-0.976971780857272</v>
      </c>
      <c r="I24" s="16">
        <f>AVERAGE(H21:H24)</f>
        <v>-0.981885068777165</v>
      </c>
      <c r="J24" s="16"/>
    </row>
    <row r="25" ht="20.05" customHeight="1">
      <c r="B25" s="29"/>
      <c r="C25" s="17">
        <v>2285.53</v>
      </c>
      <c r="D25" s="18">
        <v>2438.982</v>
      </c>
      <c r="E25" s="18">
        <v>80.5</v>
      </c>
      <c r="F25" s="18">
        <v>36.18</v>
      </c>
      <c r="G25" s="16">
        <f>C25/C24-1</f>
        <v>-0.0485957032306943</v>
      </c>
      <c r="H25" s="16">
        <f>(E25+F25-C25)/C25</f>
        <v>-0.948948383963457</v>
      </c>
      <c r="I25" s="16">
        <f>AVERAGE(H22:H25)</f>
        <v>-0.976742147203324</v>
      </c>
      <c r="J25" s="16"/>
    </row>
    <row r="26" ht="20.05" customHeight="1">
      <c r="B26" s="29"/>
      <c r="C26" s="17">
        <f>7045.69-SUM(C24:C25)</f>
        <v>2357.89</v>
      </c>
      <c r="D26" s="18">
        <v>2354.1</v>
      </c>
      <c r="E26" s="18">
        <f>125.55+45.25-SUM(E24:E25)</f>
        <v>49.8</v>
      </c>
      <c r="F26" s="18">
        <f>45.33-SUM(F24:F25)</f>
        <v>-5.67</v>
      </c>
      <c r="G26" s="16">
        <f>C26/C25-1</f>
        <v>0.0316600525917402</v>
      </c>
      <c r="H26" s="16">
        <f>(E26+F26-C26)/C26</f>
        <v>-0.981284114186837</v>
      </c>
      <c r="I26" s="16">
        <f>AVERAGE(H23:H26)</f>
        <v>-0.97578009516722</v>
      </c>
      <c r="J26" s="16"/>
    </row>
    <row r="27" ht="20.05" customHeight="1">
      <c r="B27" s="29"/>
      <c r="C27" s="17">
        <f>10006.2-SUM(C24:C26)</f>
        <v>2960.51</v>
      </c>
      <c r="D27" s="18">
        <v>2515.86863</v>
      </c>
      <c r="E27" s="18">
        <f>241.9-SUM(E24:E26)</f>
        <v>71.09999999999999</v>
      </c>
      <c r="F27" s="18">
        <f>20.4-SUM(F24:F26)</f>
        <v>-24.93</v>
      </c>
      <c r="G27" s="16">
        <f>C27/C26-1</f>
        <v>0.255575959862419</v>
      </c>
      <c r="H27" s="16">
        <f>(E27+F27-C27)/C27</f>
        <v>-0.984404714052646</v>
      </c>
      <c r="I27" s="16">
        <f>AVERAGE(H24:H27)</f>
        <v>-0.972902248265053</v>
      </c>
      <c r="J27" s="16"/>
    </row>
    <row r="28" ht="20.05" customHeight="1">
      <c r="B28" s="30">
        <v>2021</v>
      </c>
      <c r="C28" s="17">
        <v>2300</v>
      </c>
      <c r="D28" s="18">
        <v>2812.4845</v>
      </c>
      <c r="E28" s="18">
        <v>85.09999999999999</v>
      </c>
      <c r="F28" s="18">
        <v>15.18</v>
      </c>
      <c r="G28" s="16">
        <f>C28/C27-1</f>
        <v>-0.223106829566527</v>
      </c>
      <c r="H28" s="16">
        <f>(E28+F28-C28)/C28</f>
        <v>-0.9564</v>
      </c>
      <c r="I28" s="16">
        <f>AVERAGE(H25:H28)</f>
        <v>-0.967759303050735</v>
      </c>
      <c r="J28" s="16"/>
    </row>
    <row r="29" ht="20.05" customHeight="1">
      <c r="B29" s="29"/>
      <c r="C29" s="17">
        <f>5559-C28</f>
        <v>3259</v>
      </c>
      <c r="D29" s="18">
        <v>2875</v>
      </c>
      <c r="E29" s="18">
        <f>107+72-E28</f>
        <v>93.90000000000001</v>
      </c>
      <c r="F29" s="18">
        <f>53.4-F28</f>
        <v>38.22</v>
      </c>
      <c r="G29" s="16">
        <f>C29/C28-1</f>
        <v>0.41695652173913</v>
      </c>
      <c r="H29" s="16">
        <f>(E29+F29-C29)/C29</f>
        <v>-0.959459957042037</v>
      </c>
      <c r="I29" s="16">
        <f>AVERAGE(H26:H29)</f>
        <v>-0.97038719632038</v>
      </c>
      <c r="J29" s="16"/>
    </row>
    <row r="30" ht="20.05" customHeight="1">
      <c r="B30" s="29"/>
      <c r="C30" s="17">
        <f>9493.6-SUM(C28:C29)</f>
        <v>3934.6</v>
      </c>
      <c r="D30" s="14">
        <v>3161.23</v>
      </c>
      <c r="E30" s="18">
        <f>266.1-SUM(E28:E29)</f>
        <v>87.09999999999999</v>
      </c>
      <c r="F30" s="18">
        <f>294.7-SUM(F28:F29)</f>
        <v>241.3</v>
      </c>
      <c r="G30" s="16">
        <f>C30/C29-1</f>
        <v>0.207302853636085</v>
      </c>
      <c r="H30" s="16">
        <f>(E30+F30-C30)/C30</f>
        <v>-0.916535353021908</v>
      </c>
      <c r="I30" s="16">
        <f>AVERAGE(H27:H30)</f>
        <v>-0.954200006029148</v>
      </c>
      <c r="J30" s="16"/>
    </row>
    <row r="31" ht="20.05" customHeight="1">
      <c r="B31" s="29"/>
      <c r="C31" s="17">
        <f>12857.6-SUM(C28:C30)</f>
        <v>3364</v>
      </c>
      <c r="D31" s="14">
        <v>4052.638</v>
      </c>
      <c r="E31" s="18">
        <f>388.1-SUM(E28:E30)</f>
        <v>122</v>
      </c>
      <c r="F31" s="18">
        <f>289.9-SUM(F28:F30)</f>
        <v>-4.8</v>
      </c>
      <c r="G31" s="16">
        <f>C31/C30-1</f>
        <v>-0.145021094901642</v>
      </c>
      <c r="H31" s="16">
        <f>(E31+F31-C31)/C31</f>
        <v>-0.965160523186683</v>
      </c>
      <c r="I31" s="16">
        <f>AVERAGE(H28:H31)</f>
        <v>-0.949388958312657</v>
      </c>
      <c r="J31" s="16"/>
    </row>
    <row r="32" ht="20.05" customHeight="1">
      <c r="B32" s="30">
        <v>2022</v>
      </c>
      <c r="C32" s="17">
        <v>2260.5</v>
      </c>
      <c r="D32" s="14">
        <v>3263.08</v>
      </c>
      <c r="E32" s="18">
        <v>104.6</v>
      </c>
      <c r="F32" s="18">
        <v>2.6</v>
      </c>
      <c r="G32" s="16">
        <f>C32/C31-1</f>
        <v>-0.328032104637337</v>
      </c>
      <c r="H32" s="16">
        <f>(E32+F32-C32)/C32</f>
        <v>-0.952576863525769</v>
      </c>
      <c r="I32" s="16">
        <f>AVERAGE(H29:H32)</f>
        <v>-0.948433174194099</v>
      </c>
      <c r="J32" s="16">
        <v>-0.949388958312657</v>
      </c>
    </row>
    <row r="33" ht="20.05" customHeight="1">
      <c r="B33" s="29"/>
      <c r="C33" s="17"/>
      <c r="D33" s="14">
        <f>'Model'!C6</f>
        <v>2712.6</v>
      </c>
      <c r="E33" s="18"/>
      <c r="F33" s="18"/>
      <c r="G33" s="16"/>
      <c r="H33" s="21"/>
      <c r="I33" s="16"/>
      <c r="J33" s="12">
        <f>'Model'!C7</f>
        <v>-0.948433174194099</v>
      </c>
    </row>
    <row r="34" ht="20.05" customHeight="1">
      <c r="B34" s="29"/>
      <c r="C34" s="17"/>
      <c r="D34" s="18">
        <f>'Model'!D6</f>
        <v>2685.474</v>
      </c>
      <c r="E34" s="18"/>
      <c r="F34" s="18"/>
      <c r="G34" s="16"/>
      <c r="H34" s="12"/>
      <c r="I34" s="12"/>
      <c r="J34" s="12"/>
    </row>
    <row r="35" ht="20.05" customHeight="1">
      <c r="B35" s="29"/>
      <c r="C35" s="17"/>
      <c r="D35" s="18">
        <f>'Model'!E6</f>
        <v>2873.45718</v>
      </c>
      <c r="E35" s="18">
        <f>SUM(C24:C32)</f>
        <v>25124.3</v>
      </c>
      <c r="F35" s="18">
        <f>SUM(D24:D32)</f>
        <v>25560.42613</v>
      </c>
      <c r="G35" s="18"/>
      <c r="H35" s="21"/>
      <c r="I35" s="21"/>
      <c r="J35" s="21"/>
    </row>
    <row r="36" ht="20.05" customHeight="1">
      <c r="B36" s="30">
        <v>2023</v>
      </c>
      <c r="C36" s="17"/>
      <c r="D36" s="18">
        <f>'Model'!F6</f>
        <v>2787.2534646</v>
      </c>
      <c r="E36" s="18"/>
      <c r="F36" s="18"/>
      <c r="G36" s="18"/>
      <c r="H36" s="21"/>
      <c r="I36" s="21"/>
      <c r="J36" s="2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9062" style="34" customWidth="1"/>
    <col min="2" max="2" width="7.60938" style="34" customWidth="1"/>
    <col min="3" max="3" width="12.9609" style="34" customWidth="1"/>
    <col min="4" max="4" width="10.5156" style="34" customWidth="1"/>
    <col min="5" max="5" width="12.1641" style="34" customWidth="1"/>
    <col min="6" max="15" width="11.3984" style="34" customWidth="1"/>
    <col min="16" max="16384" width="16.3516" style="34" customWidth="1"/>
  </cols>
  <sheetData>
    <row r="1" ht="12.1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11</v>
      </c>
      <c r="H3" t="s" s="5">
        <v>26</v>
      </c>
      <c r="I3" t="s" s="5">
        <v>10</v>
      </c>
      <c r="J3" t="s" s="5">
        <v>51</v>
      </c>
      <c r="K3" t="s" s="5">
        <v>3</v>
      </c>
      <c r="L3" t="s" s="5">
        <v>35</v>
      </c>
      <c r="M3" t="s" s="5">
        <v>30</v>
      </c>
      <c r="N3" t="s" s="5">
        <v>35</v>
      </c>
      <c r="O3" s="35"/>
    </row>
    <row r="4" ht="20.25" customHeight="1">
      <c r="B4" s="25">
        <v>2015</v>
      </c>
      <c r="C4" s="26">
        <v>1116.7</v>
      </c>
      <c r="D4" s="27">
        <v>-89.8</v>
      </c>
      <c r="E4" s="27">
        <v>-59.6</v>
      </c>
      <c r="F4" s="27"/>
      <c r="G4" s="27"/>
      <c r="H4" s="27"/>
      <c r="I4" s="27">
        <v>-73.2</v>
      </c>
      <c r="J4" s="27">
        <f>D4+E4</f>
        <v>-149.4</v>
      </c>
      <c r="K4" s="27"/>
      <c r="L4" s="27"/>
      <c r="M4" s="27">
        <f>-I4</f>
        <v>73.2</v>
      </c>
      <c r="N4" s="27"/>
      <c r="O4" s="27">
        <v>1</v>
      </c>
    </row>
    <row r="5" ht="20.05" customHeight="1">
      <c r="B5" s="29"/>
      <c r="C5" s="17">
        <v>1102.7</v>
      </c>
      <c r="D5" s="18">
        <v>-185.4</v>
      </c>
      <c r="E5" s="18">
        <v>-33.2</v>
      </c>
      <c r="F5" s="18"/>
      <c r="G5" s="18"/>
      <c r="H5" s="18"/>
      <c r="I5" s="18">
        <v>98.7</v>
      </c>
      <c r="J5" s="18">
        <f>D5+E5</f>
        <v>-218.6</v>
      </c>
      <c r="K5" s="18"/>
      <c r="L5" s="18"/>
      <c r="M5" s="18">
        <f>-I5+M4</f>
        <v>-25.5</v>
      </c>
      <c r="N5" s="18"/>
      <c r="O5" s="18">
        <f>1+O4</f>
        <v>2</v>
      </c>
    </row>
    <row r="6" ht="20.05" customHeight="1">
      <c r="B6" s="29"/>
      <c r="C6" s="17">
        <v>1215.6</v>
      </c>
      <c r="D6" s="18">
        <v>6.7</v>
      </c>
      <c r="E6" s="18">
        <v>-70.2</v>
      </c>
      <c r="F6" s="18"/>
      <c r="G6" s="18"/>
      <c r="H6" s="18"/>
      <c r="I6" s="18">
        <v>-4.7</v>
      </c>
      <c r="J6" s="18">
        <f>D6+E6</f>
        <v>-63.5</v>
      </c>
      <c r="K6" s="18"/>
      <c r="L6" s="18"/>
      <c r="M6" s="18">
        <f>-I6+M5</f>
        <v>-20.8</v>
      </c>
      <c r="N6" s="18"/>
      <c r="O6" s="18">
        <f>1+O5</f>
        <v>3</v>
      </c>
    </row>
    <row r="7" ht="20.05" customHeight="1">
      <c r="B7" s="29"/>
      <c r="C7" s="17">
        <v>1725</v>
      </c>
      <c r="D7" s="18">
        <v>444.4</v>
      </c>
      <c r="E7" s="18">
        <v>-65.5</v>
      </c>
      <c r="F7" s="18"/>
      <c r="G7" s="18"/>
      <c r="H7" s="18"/>
      <c r="I7" s="18">
        <v>-80.59999999999999</v>
      </c>
      <c r="J7" s="18">
        <f>D7+E7</f>
        <v>378.9</v>
      </c>
      <c r="K7" s="18"/>
      <c r="L7" s="18"/>
      <c r="M7" s="18">
        <f>-I7+M6</f>
        <v>59.8</v>
      </c>
      <c r="N7" s="18"/>
      <c r="O7" s="18">
        <f>1+O6</f>
        <v>4</v>
      </c>
    </row>
    <row r="8" ht="20.05" customHeight="1">
      <c r="B8" s="30">
        <v>2016</v>
      </c>
      <c r="C8" s="17">
        <v>1177</v>
      </c>
      <c r="D8" s="18">
        <v>-257.6</v>
      </c>
      <c r="E8" s="18">
        <v>-47.8</v>
      </c>
      <c r="F8" s="18"/>
      <c r="G8" s="18"/>
      <c r="H8" s="18"/>
      <c r="I8" s="18">
        <v>184.6</v>
      </c>
      <c r="J8" s="18">
        <f>D8+E8</f>
        <v>-305.4</v>
      </c>
      <c r="K8" s="18">
        <f>AVERAGE(J5:J8)</f>
        <v>-52.15</v>
      </c>
      <c r="L8" s="18"/>
      <c r="M8" s="18">
        <f>-I8+M7</f>
        <v>-124.8</v>
      </c>
      <c r="N8" s="18"/>
      <c r="O8" s="18">
        <f>1+O7</f>
        <v>5</v>
      </c>
    </row>
    <row r="9" ht="20.05" customHeight="1">
      <c r="B9" s="29"/>
      <c r="C9" s="17">
        <v>1174</v>
      </c>
      <c r="D9" s="18">
        <v>-52.2</v>
      </c>
      <c r="E9" s="18">
        <v>-89.2</v>
      </c>
      <c r="F9" s="18"/>
      <c r="G9" s="18"/>
      <c r="H9" s="18"/>
      <c r="I9" s="18">
        <v>45</v>
      </c>
      <c r="J9" s="18">
        <f>D9+E9</f>
        <v>-141.4</v>
      </c>
      <c r="K9" s="18">
        <f>AVERAGE(J6:J9)</f>
        <v>-32.85</v>
      </c>
      <c r="L9" s="18"/>
      <c r="M9" s="18">
        <f>-I9+M8</f>
        <v>-169.8</v>
      </c>
      <c r="N9" s="18"/>
      <c r="O9" s="18">
        <f>1+O8</f>
        <v>6</v>
      </c>
    </row>
    <row r="10" ht="20.05" customHeight="1">
      <c r="B10" s="29"/>
      <c r="C10" s="17">
        <v>1381.3</v>
      </c>
      <c r="D10" s="18">
        <v>-18.2</v>
      </c>
      <c r="E10" s="18">
        <v>-148</v>
      </c>
      <c r="F10" s="18"/>
      <c r="G10" s="18"/>
      <c r="H10" s="18"/>
      <c r="I10" s="18">
        <v>290.1</v>
      </c>
      <c r="J10" s="18">
        <f>D10+E10</f>
        <v>-166.2</v>
      </c>
      <c r="K10" s="18">
        <f>AVERAGE(J7:J10)</f>
        <v>-58.525</v>
      </c>
      <c r="L10" s="18"/>
      <c r="M10" s="18">
        <f>-I10+M9</f>
        <v>-459.9</v>
      </c>
      <c r="N10" s="18"/>
      <c r="O10" s="18">
        <f>1+O9</f>
        <v>7</v>
      </c>
    </row>
    <row r="11" ht="20.05" customHeight="1">
      <c r="B11" s="29"/>
      <c r="C11" s="17">
        <v>2313.2</v>
      </c>
      <c r="D11" s="18">
        <v>526</v>
      </c>
      <c r="E11" s="18">
        <v>-193.9</v>
      </c>
      <c r="F11" s="18"/>
      <c r="G11" s="18"/>
      <c r="H11" s="18"/>
      <c r="I11" s="18">
        <v>-52.2</v>
      </c>
      <c r="J11" s="18">
        <f>D11+E11</f>
        <v>332.1</v>
      </c>
      <c r="K11" s="18">
        <f>AVERAGE(J8:J11)</f>
        <v>-70.22499999999999</v>
      </c>
      <c r="L11" s="18"/>
      <c r="M11" s="18">
        <f>-I11+M10</f>
        <v>-407.7</v>
      </c>
      <c r="N11" s="18"/>
      <c r="O11" s="18">
        <f>1+O10</f>
        <v>8</v>
      </c>
    </row>
    <row r="12" ht="20.05" customHeight="1">
      <c r="B12" s="30">
        <v>2017</v>
      </c>
      <c r="C12" s="17">
        <v>1298.8</v>
      </c>
      <c r="D12" s="18">
        <v>-279</v>
      </c>
      <c r="E12" s="18">
        <v>-167</v>
      </c>
      <c r="F12" s="18"/>
      <c r="G12" s="18"/>
      <c r="H12" s="18"/>
      <c r="I12" s="18">
        <v>231.2</v>
      </c>
      <c r="J12" s="18">
        <f>D12+E12</f>
        <v>-446</v>
      </c>
      <c r="K12" s="18">
        <f>AVERAGE(J9:J12)</f>
        <v>-105.375</v>
      </c>
      <c r="L12" s="18"/>
      <c r="M12" s="18">
        <f>-I12+M11</f>
        <v>-638.9</v>
      </c>
      <c r="N12" s="18"/>
      <c r="O12" s="18">
        <f>1+O11</f>
        <v>9</v>
      </c>
    </row>
    <row r="13" ht="20.05" customHeight="1">
      <c r="B13" s="29"/>
      <c r="C13" s="17">
        <v>1140.8</v>
      </c>
      <c r="D13" s="18">
        <v>-94.59999999999999</v>
      </c>
      <c r="E13" s="18">
        <v>-188.7</v>
      </c>
      <c r="F13" s="18"/>
      <c r="G13" s="18"/>
      <c r="H13" s="18"/>
      <c r="I13" s="18">
        <v>240.5</v>
      </c>
      <c r="J13" s="18">
        <f>D13+E13</f>
        <v>-283.3</v>
      </c>
      <c r="K13" s="18">
        <f>AVERAGE(J10:J13)</f>
        <v>-140.85</v>
      </c>
      <c r="L13" s="18"/>
      <c r="M13" s="18">
        <f>-I13+M12</f>
        <v>-879.4</v>
      </c>
      <c r="N13" s="18"/>
      <c r="O13" s="18">
        <f>1+O12</f>
        <v>10</v>
      </c>
    </row>
    <row r="14" ht="20.05" customHeight="1">
      <c r="B14" s="29"/>
      <c r="C14" s="17">
        <v>1469.2</v>
      </c>
      <c r="D14" s="18">
        <v>-64.3</v>
      </c>
      <c r="E14" s="18">
        <v>-252.6</v>
      </c>
      <c r="F14" s="18"/>
      <c r="G14" s="18"/>
      <c r="H14" s="18"/>
      <c r="I14" s="18">
        <v>552.9</v>
      </c>
      <c r="J14" s="18">
        <f>D14+E14</f>
        <v>-316.9</v>
      </c>
      <c r="K14" s="18">
        <f>AVERAGE(J11:J14)</f>
        <v>-178.525</v>
      </c>
      <c r="L14" s="18"/>
      <c r="M14" s="18">
        <f>-I14+M13</f>
        <v>-1432.3</v>
      </c>
      <c r="N14" s="18"/>
      <c r="O14" s="18">
        <f>1+O13</f>
        <v>11</v>
      </c>
    </row>
    <row r="15" ht="20.05" customHeight="1">
      <c r="B15" s="29"/>
      <c r="C15" s="17">
        <v>2318.1</v>
      </c>
      <c r="D15" s="18">
        <v>443.1</v>
      </c>
      <c r="E15" s="18">
        <v>-201.7</v>
      </c>
      <c r="F15" s="18"/>
      <c r="G15" s="18"/>
      <c r="H15" s="18"/>
      <c r="I15" s="18">
        <v>122.3</v>
      </c>
      <c r="J15" s="18">
        <f>D15+E15</f>
        <v>241.4</v>
      </c>
      <c r="K15" s="18">
        <f>AVERAGE(J12:J15)</f>
        <v>-201.2</v>
      </c>
      <c r="L15" s="18"/>
      <c r="M15" s="18">
        <f>-I15+M14</f>
        <v>-1554.6</v>
      </c>
      <c r="N15" s="18"/>
      <c r="O15" s="18">
        <f>1+O14</f>
        <v>12</v>
      </c>
    </row>
    <row r="16" ht="20.05" customHeight="1">
      <c r="B16" s="30">
        <v>2018</v>
      </c>
      <c r="C16" s="17">
        <v>1359.7</v>
      </c>
      <c r="D16" s="18">
        <v>-351.6</v>
      </c>
      <c r="E16" s="18">
        <v>-378</v>
      </c>
      <c r="F16" s="18"/>
      <c r="G16" s="18"/>
      <c r="H16" s="18"/>
      <c r="I16" s="18">
        <v>440</v>
      </c>
      <c r="J16" s="18">
        <f>D16+E16</f>
        <v>-729.6</v>
      </c>
      <c r="K16" s="18">
        <f>AVERAGE(J13:J16)</f>
        <v>-272.1</v>
      </c>
      <c r="L16" s="18"/>
      <c r="M16" s="18">
        <f>-I16+M15</f>
        <v>-1994.6</v>
      </c>
      <c r="N16" s="18"/>
      <c r="O16" s="18">
        <f>1+O15</f>
        <v>13</v>
      </c>
    </row>
    <row r="17" ht="20.05" customHeight="1">
      <c r="B17" s="29"/>
      <c r="C17" s="17">
        <v>1803.3</v>
      </c>
      <c r="D17" s="18">
        <v>-388.4</v>
      </c>
      <c r="E17" s="18">
        <v>-160</v>
      </c>
      <c r="F17" s="18"/>
      <c r="G17" s="18"/>
      <c r="H17" s="18"/>
      <c r="I17" s="18">
        <v>1073</v>
      </c>
      <c r="J17" s="18">
        <f>D17+E17</f>
        <v>-548.4</v>
      </c>
      <c r="K17" s="18">
        <f>AVERAGE(J14:J17)</f>
        <v>-338.375</v>
      </c>
      <c r="L17" s="18"/>
      <c r="M17" s="18">
        <f>-I17+M16</f>
        <v>-3067.6</v>
      </c>
      <c r="N17" s="18"/>
      <c r="O17" s="18">
        <f>1+O16</f>
        <v>14</v>
      </c>
    </row>
    <row r="18" ht="20.05" customHeight="1">
      <c r="B18" s="29"/>
      <c r="C18" s="17">
        <v>2366.6</v>
      </c>
      <c r="D18" s="18">
        <v>-245.7</v>
      </c>
      <c r="E18" s="18">
        <v>-427.7</v>
      </c>
      <c r="F18" s="18"/>
      <c r="G18" s="18"/>
      <c r="H18" s="18"/>
      <c r="I18" s="18">
        <v>681.8</v>
      </c>
      <c r="J18" s="18">
        <f>D18+E18</f>
        <v>-673.4</v>
      </c>
      <c r="K18" s="18">
        <f>AVERAGE(J15:J18)</f>
        <v>-427.5</v>
      </c>
      <c r="L18" s="18"/>
      <c r="M18" s="18">
        <f>-I18+M17</f>
        <v>-3749.4</v>
      </c>
      <c r="N18" s="18"/>
      <c r="O18" s="18">
        <f>1+O17</f>
        <v>15</v>
      </c>
    </row>
    <row r="19" ht="20.05" customHeight="1">
      <c r="B19" s="29"/>
      <c r="C19" s="31">
        <v>3503.4</v>
      </c>
      <c r="D19" s="32">
        <v>1157.7</v>
      </c>
      <c r="E19" s="32">
        <v>-597.3</v>
      </c>
      <c r="F19" s="32"/>
      <c r="G19" s="32"/>
      <c r="H19" s="32"/>
      <c r="I19" s="32">
        <v>128.2</v>
      </c>
      <c r="J19" s="18">
        <f>D19+E19</f>
        <v>560.4</v>
      </c>
      <c r="K19" s="18">
        <f>AVERAGE(J16:J19)</f>
        <v>-347.75</v>
      </c>
      <c r="L19" s="18"/>
      <c r="M19" s="18">
        <f>-I19+M18</f>
        <v>-3877.6</v>
      </c>
      <c r="N19" s="18"/>
      <c r="O19" s="18">
        <f>1+O18</f>
        <v>16</v>
      </c>
    </row>
    <row r="20" ht="20.05" customHeight="1">
      <c r="B20" s="30">
        <v>2019</v>
      </c>
      <c r="C20" s="17">
        <v>1495</v>
      </c>
      <c r="D20" s="18">
        <v>-1576.48</v>
      </c>
      <c r="E20" s="18">
        <v>-1501.6</v>
      </c>
      <c r="F20" s="18"/>
      <c r="G20" s="18"/>
      <c r="H20" s="18"/>
      <c r="I20" s="18">
        <v>2217.65</v>
      </c>
      <c r="J20" s="18"/>
      <c r="K20" s="18">
        <f>AVERAGE(J17:J20)</f>
        <v>-220.466666666667</v>
      </c>
      <c r="L20" s="18"/>
      <c r="M20" s="18">
        <f>-I20+M19</f>
        <v>-6095.25</v>
      </c>
      <c r="N20" s="18"/>
      <c r="O20" s="18">
        <f>1+O19</f>
        <v>17</v>
      </c>
    </row>
    <row r="21" ht="20.05" customHeight="1">
      <c r="B21" s="29"/>
      <c r="C21" s="17">
        <v>1984.7</v>
      </c>
      <c r="D21" s="18">
        <v>597.58</v>
      </c>
      <c r="E21" s="18">
        <v>-199.4</v>
      </c>
      <c r="F21" s="18"/>
      <c r="G21" s="18"/>
      <c r="H21" s="18"/>
      <c r="I21" s="18">
        <v>-444.65</v>
      </c>
      <c r="J21" s="18">
        <f>D21+E21</f>
        <v>398.18</v>
      </c>
      <c r="K21" s="18">
        <f>AVERAGE(J18:J21)</f>
        <v>95.06</v>
      </c>
      <c r="L21" s="18"/>
      <c r="M21" s="18">
        <f>-I21+M20</f>
        <v>-5650.6</v>
      </c>
      <c r="N21" s="18"/>
      <c r="O21" s="18">
        <f>1+O20</f>
        <v>18</v>
      </c>
    </row>
    <row r="22" ht="20.05" customHeight="1">
      <c r="B22" s="29"/>
      <c r="C22" s="17">
        <v>3079.2</v>
      </c>
      <c r="D22" s="18">
        <v>-375</v>
      </c>
      <c r="E22" s="18">
        <v>-336.7</v>
      </c>
      <c r="F22" s="18"/>
      <c r="G22" s="18"/>
      <c r="H22" s="18"/>
      <c r="I22" s="18">
        <v>917</v>
      </c>
      <c r="J22" s="18">
        <f>D22+E22</f>
        <v>-711.7</v>
      </c>
      <c r="K22" s="18">
        <f>AVERAGE(J19:J22)</f>
        <v>82.29333333333329</v>
      </c>
      <c r="L22" s="18"/>
      <c r="M22" s="18">
        <f>-I22+M21</f>
        <v>-6567.6</v>
      </c>
      <c r="N22" s="18"/>
      <c r="O22" s="18">
        <f>1+O21</f>
        <v>19</v>
      </c>
    </row>
    <row r="23" ht="20.05" customHeight="1">
      <c r="B23" s="29"/>
      <c r="C23" s="17">
        <v>2725.1</v>
      </c>
      <c r="D23" s="18">
        <v>-500.1</v>
      </c>
      <c r="E23" s="18">
        <v>-87.3</v>
      </c>
      <c r="F23" s="18"/>
      <c r="G23" s="18"/>
      <c r="H23" s="18"/>
      <c r="I23" s="18">
        <v>585</v>
      </c>
      <c r="J23" s="18">
        <f>D23+E23</f>
        <v>-587.4</v>
      </c>
      <c r="K23" s="18">
        <f>AVERAGE(J20:J23)</f>
        <v>-300.306666666667</v>
      </c>
      <c r="L23" s="18"/>
      <c r="M23" s="18">
        <f>-I23+M22</f>
        <v>-7152.6</v>
      </c>
      <c r="N23" s="18"/>
      <c r="O23" s="18">
        <f>1+O22</f>
        <v>20</v>
      </c>
    </row>
    <row r="24" ht="20.05" customHeight="1">
      <c r="B24" s="30">
        <v>2020</v>
      </c>
      <c r="C24" s="17">
        <v>2465.66</v>
      </c>
      <c r="D24" s="18">
        <v>-159.34</v>
      </c>
      <c r="E24" s="18">
        <v>-148.98</v>
      </c>
      <c r="F24" s="18"/>
      <c r="G24" s="18"/>
      <c r="H24" s="18"/>
      <c r="I24" s="18">
        <v>-350.95</v>
      </c>
      <c r="J24" s="18">
        <f>D24+E24</f>
        <v>-308.32</v>
      </c>
      <c r="K24" s="18">
        <f>AVERAGE(J21:J24)</f>
        <v>-302.31</v>
      </c>
      <c r="L24" s="18"/>
      <c r="M24" s="18">
        <f>-I24+M23</f>
        <v>-6801.65</v>
      </c>
      <c r="N24" s="18"/>
      <c r="O24" s="18">
        <f>1+O23</f>
        <v>21</v>
      </c>
    </row>
    <row r="25" ht="20.05" customHeight="1">
      <c r="B25" s="29"/>
      <c r="C25" s="17">
        <v>2361.34</v>
      </c>
      <c r="D25" s="18">
        <v>-58.36</v>
      </c>
      <c r="E25" s="18">
        <v>-138.15</v>
      </c>
      <c r="F25" s="18"/>
      <c r="G25" s="18"/>
      <c r="H25" s="18"/>
      <c r="I25" s="18">
        <v>117.95</v>
      </c>
      <c r="J25" s="18">
        <f>D25+E25</f>
        <v>-196.51</v>
      </c>
      <c r="K25" s="18">
        <f>AVERAGE(J22:J25)</f>
        <v>-450.9825</v>
      </c>
      <c r="L25" s="18"/>
      <c r="M25" s="18">
        <f>-I25+M24</f>
        <v>-6919.6</v>
      </c>
      <c r="N25" s="18"/>
      <c r="O25" s="18">
        <f>1+O24</f>
        <v>22</v>
      </c>
    </row>
    <row r="26" ht="20.05" customHeight="1">
      <c r="B26" s="29"/>
      <c r="C26" s="17">
        <f>7586.48-SUM(C24:C25)</f>
        <v>2759.48</v>
      </c>
      <c r="D26" s="18">
        <f>-172.84-SUM(D24:D25)</f>
        <v>44.86</v>
      </c>
      <c r="E26" s="18">
        <f>-376.73-SUM(E24:E25)</f>
        <v>-89.59999999999999</v>
      </c>
      <c r="F26" s="18"/>
      <c r="G26" s="18"/>
      <c r="H26" s="18"/>
      <c r="I26" s="18">
        <f>-58.73-SUM(I24:I25)</f>
        <v>174.27</v>
      </c>
      <c r="J26" s="18">
        <f>D26+E26</f>
        <v>-44.74</v>
      </c>
      <c r="K26" s="18">
        <f>AVERAGE(J23:J26)</f>
        <v>-284.2425</v>
      </c>
      <c r="L26" s="18"/>
      <c r="M26" s="18">
        <f>-I26+M25</f>
        <v>-7093.87</v>
      </c>
      <c r="N26" s="18"/>
      <c r="O26" s="18">
        <f>1+O25</f>
        <v>23</v>
      </c>
    </row>
    <row r="27" ht="20.05" customHeight="1">
      <c r="B27" s="29"/>
      <c r="C27" s="17">
        <f>10596.2-SUM(C24:C26)</f>
        <v>3009.72</v>
      </c>
      <c r="D27" s="18">
        <f>1019-SUM(D24:D26)</f>
        <v>1191.84</v>
      </c>
      <c r="E27" s="18">
        <f>-540-SUM(E24:E26)</f>
        <v>-163.27</v>
      </c>
      <c r="F27" s="18"/>
      <c r="G27" s="18"/>
      <c r="H27" s="18"/>
      <c r="I27" s="18">
        <f>-590.2-SUM(I24:I26)</f>
        <v>-531.47</v>
      </c>
      <c r="J27" s="18">
        <f>D27+E27</f>
        <v>1028.57</v>
      </c>
      <c r="K27" s="18">
        <f>AVERAGE(J24:J27)</f>
        <v>119.75</v>
      </c>
      <c r="L27" s="18"/>
      <c r="M27" s="18">
        <f>-I27+M26</f>
        <v>-6562.4</v>
      </c>
      <c r="N27" s="18"/>
      <c r="O27" s="18">
        <f>1+O26</f>
        <v>24</v>
      </c>
    </row>
    <row r="28" ht="20.05" customHeight="1">
      <c r="B28" s="30">
        <v>2021</v>
      </c>
      <c r="C28" s="17">
        <v>2549</v>
      </c>
      <c r="D28" s="18">
        <v>-510.37</v>
      </c>
      <c r="E28" s="18">
        <v>-86.5</v>
      </c>
      <c r="F28" s="18">
        <v>-1.5</v>
      </c>
      <c r="G28" s="18">
        <f>27.491-H28</f>
        <v>27.123</v>
      </c>
      <c r="H28" s="18">
        <f>-0.397+0.765</f>
        <v>0.368</v>
      </c>
      <c r="I28" s="18">
        <v>27.4</v>
      </c>
      <c r="J28" s="18">
        <f>D28+E28</f>
        <v>-596.87</v>
      </c>
      <c r="K28" s="18">
        <f>AVERAGE(J25:J28)</f>
        <v>47.6125</v>
      </c>
      <c r="L28" s="18"/>
      <c r="M28" s="18">
        <f>-I28+M27</f>
        <v>-6589.8</v>
      </c>
      <c r="N28" s="18"/>
      <c r="O28" s="18">
        <f>1+O27</f>
        <v>25</v>
      </c>
    </row>
    <row r="29" ht="20.05" customHeight="1">
      <c r="B29" s="29"/>
      <c r="C29" s="17">
        <f>4876-C28</f>
        <v>2327</v>
      </c>
      <c r="D29" s="18">
        <f>-659-D28</f>
        <v>-148.63</v>
      </c>
      <c r="E29" s="18">
        <f>-180-E28</f>
        <v>-93.5</v>
      </c>
      <c r="F29" s="18">
        <v>17</v>
      </c>
      <c r="G29" s="18">
        <f>206.502-F29-H29-G28-H28</f>
        <v>173.185</v>
      </c>
      <c r="H29" s="18">
        <f>-10.472-0.702</f>
        <v>-11.174</v>
      </c>
      <c r="I29" s="18">
        <f>207-I28</f>
        <v>179.6</v>
      </c>
      <c r="J29" s="18">
        <f>D29+E29</f>
        <v>-242.13</v>
      </c>
      <c r="K29" s="18">
        <f>AVERAGE(J26:J29)</f>
        <v>36.2075</v>
      </c>
      <c r="L29" s="18"/>
      <c r="M29" s="18">
        <f>-I29+M28</f>
        <v>-6769.4</v>
      </c>
      <c r="N29" s="18"/>
      <c r="O29" s="18">
        <f>1+O28</f>
        <v>26</v>
      </c>
    </row>
    <row r="30" ht="20.05" customHeight="1">
      <c r="B30" s="29"/>
      <c r="C30" s="17">
        <f>8758.6-SUM(C28:C29)</f>
        <v>3882.6</v>
      </c>
      <c r="D30" s="18">
        <f>-953.4-SUM(D28:D29)</f>
        <v>-294.4</v>
      </c>
      <c r="E30" s="18">
        <f>-320.8-SUM(E28:E29)</f>
        <v>-140.8</v>
      </c>
      <c r="F30" s="18">
        <f>2.641-F29</f>
        <v>-14.359</v>
      </c>
      <c r="G30" s="18">
        <f>680.462-F30-F29-G29-G28-H30-H29-H28</f>
        <v>242.765</v>
      </c>
      <c r="H30" s="18">
        <f>-8.384-0.702+254.64</f>
        <v>245.554</v>
      </c>
      <c r="I30" s="18">
        <f>680.5-SUM(I28:I29)</f>
        <v>473.5</v>
      </c>
      <c r="J30" s="18">
        <f>D30+E30</f>
        <v>-435.2</v>
      </c>
      <c r="K30" s="18">
        <f>AVERAGE(J27:J30)</f>
        <v>-61.4075</v>
      </c>
      <c r="L30" s="18"/>
      <c r="M30" s="18">
        <f>-I30+M29</f>
        <v>-7242.9</v>
      </c>
      <c r="N30" s="18"/>
      <c r="O30" s="18">
        <f>1+O29</f>
        <v>27</v>
      </c>
    </row>
    <row r="31" ht="20.05" customHeight="1">
      <c r="B31" s="29"/>
      <c r="C31" s="17">
        <f>12440.4-SUM(C28:C30)</f>
        <v>3681.8</v>
      </c>
      <c r="D31" s="18">
        <f>-223.9-SUM(D28:D30)</f>
        <v>729.5</v>
      </c>
      <c r="E31" s="18">
        <f>-648.4-SUM(E28:E30)</f>
        <v>-327.6</v>
      </c>
      <c r="F31" s="18">
        <f>-6-SUM(F28:F30)</f>
        <v>-7.141</v>
      </c>
      <c r="G31" s="18">
        <f>I31-H31-F31</f>
        <v>-317.711</v>
      </c>
      <c r="H31" s="18">
        <f>-10.5-0.7+254.6-SUM(H28:H30)</f>
        <v>8.651999999999999</v>
      </c>
      <c r="I31" s="18">
        <f>364.3-SUM(I28:I30)</f>
        <v>-316.2</v>
      </c>
      <c r="J31" s="18">
        <f>D31+E31</f>
        <v>401.9</v>
      </c>
      <c r="K31" s="18">
        <f>AVERAGE(J28:J31)</f>
        <v>-218.075</v>
      </c>
      <c r="L31" s="18"/>
      <c r="M31" s="18">
        <f>-I31+M30</f>
        <v>-6926.7</v>
      </c>
      <c r="N31" s="18"/>
      <c r="O31" s="18">
        <f>1+O30</f>
        <v>28</v>
      </c>
    </row>
    <row r="32" ht="20.05" customHeight="1">
      <c r="B32" s="30">
        <v>2022</v>
      </c>
      <c r="C32" s="17">
        <v>2463.8</v>
      </c>
      <c r="D32" s="18">
        <v>-205.5</v>
      </c>
      <c r="E32" s="18">
        <v>-68.3</v>
      </c>
      <c r="F32" s="18">
        <v>-1.5</v>
      </c>
      <c r="G32" s="18">
        <f>I32-H32-F32</f>
        <v>291.92</v>
      </c>
      <c r="H32" s="18">
        <v>-0.02</v>
      </c>
      <c r="I32" s="18">
        <v>290.4</v>
      </c>
      <c r="J32" s="18">
        <f>D32+E32</f>
        <v>-273.8</v>
      </c>
      <c r="K32" s="18">
        <f>AVERAGE(J29:J32)</f>
        <v>-137.3075</v>
      </c>
      <c r="L32" s="18">
        <v>100.687027363990</v>
      </c>
      <c r="M32" s="18">
        <f>-I32+M31</f>
        <v>-7217.1</v>
      </c>
      <c r="N32" s="18">
        <v>-6568.715718294950</v>
      </c>
      <c r="O32" s="18">
        <f>1+O31</f>
        <v>29</v>
      </c>
    </row>
    <row r="33" ht="20.05" customHeight="1">
      <c r="B33" s="29"/>
      <c r="C33" s="17"/>
      <c r="D33" s="18"/>
      <c r="E33" s="18"/>
      <c r="F33" s="18"/>
      <c r="G33" s="18"/>
      <c r="H33" s="18"/>
      <c r="I33" s="18"/>
      <c r="J33" s="18"/>
      <c r="K33" s="21"/>
      <c r="L33" s="18">
        <f>SUM('Model'!F9:F10)</f>
        <v>75.429813885920</v>
      </c>
      <c r="M33" s="21"/>
      <c r="N33" s="18">
        <f>'Model'!F33</f>
        <v>-6920.033578606930</v>
      </c>
      <c r="O33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9.53125" style="36" customWidth="1"/>
    <col min="3" max="11" width="9.98438" style="36" customWidth="1"/>
    <col min="12" max="16384" width="16.3516" style="36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54</v>
      </c>
      <c r="J3" t="s" s="5">
        <v>28</v>
      </c>
      <c r="K3" t="s" s="5">
        <v>35</v>
      </c>
    </row>
    <row r="4" ht="20.25" customHeight="1">
      <c r="B4" s="25">
        <v>2015</v>
      </c>
      <c r="C4" s="26">
        <v>351</v>
      </c>
      <c r="D4" s="27">
        <v>2819</v>
      </c>
      <c r="E4" s="27">
        <f>D4-C4</f>
        <v>2468</v>
      </c>
      <c r="F4" s="27">
        <f>465+27+3</f>
        <v>495</v>
      </c>
      <c r="G4" s="27">
        <v>963</v>
      </c>
      <c r="H4" s="27">
        <v>1856</v>
      </c>
      <c r="I4" s="27">
        <f>G4+H4-C4-E4</f>
        <v>0</v>
      </c>
      <c r="J4" s="27">
        <f>C4-G4</f>
        <v>-612</v>
      </c>
      <c r="K4" s="27"/>
    </row>
    <row r="5" ht="20.05" customHeight="1">
      <c r="B5" s="29"/>
      <c r="C5" s="17">
        <v>231</v>
      </c>
      <c r="D5" s="18">
        <v>2980</v>
      </c>
      <c r="E5" s="18">
        <f>D5-C5</f>
        <v>2749</v>
      </c>
      <c r="F5" s="18">
        <f>476+27+3</f>
        <v>506</v>
      </c>
      <c r="G5" s="18">
        <v>1284</v>
      </c>
      <c r="H5" s="18">
        <v>1696</v>
      </c>
      <c r="I5" s="18">
        <f>G5+H5-C5-E5</f>
        <v>0</v>
      </c>
      <c r="J5" s="18">
        <f>C5-G5</f>
        <v>-1053</v>
      </c>
      <c r="K5" s="18"/>
    </row>
    <row r="6" ht="20.05" customHeight="1">
      <c r="B6" s="29"/>
      <c r="C6" s="17">
        <v>162</v>
      </c>
      <c r="D6" s="18">
        <v>3167</v>
      </c>
      <c r="E6" s="18">
        <f>D6-C6</f>
        <v>3005</v>
      </c>
      <c r="F6" s="18">
        <f>488+27+3</f>
        <v>518</v>
      </c>
      <c r="G6" s="18">
        <v>1369</v>
      </c>
      <c r="H6" s="18">
        <v>1798</v>
      </c>
      <c r="I6" s="18">
        <f>G6+H6-C6-E6</f>
        <v>0</v>
      </c>
      <c r="J6" s="18">
        <f>C6-G6</f>
        <v>-1207</v>
      </c>
      <c r="K6" s="18"/>
    </row>
    <row r="7" ht="20.05" customHeight="1">
      <c r="B7" s="29"/>
      <c r="C7" s="17">
        <v>461</v>
      </c>
      <c r="D7" s="18">
        <v>3236</v>
      </c>
      <c r="E7" s="18">
        <f>D7-C7</f>
        <v>2775</v>
      </c>
      <c r="F7" s="18">
        <f>492+27+3.3</f>
        <v>522.3</v>
      </c>
      <c r="G7" s="18">
        <v>1374</v>
      </c>
      <c r="H7" s="37">
        <v>1862</v>
      </c>
      <c r="I7" s="18">
        <f>G7+H7-C7-E7</f>
        <v>0</v>
      </c>
      <c r="J7" s="18">
        <f>C7-G7</f>
        <v>-913</v>
      </c>
      <c r="K7" s="18"/>
    </row>
    <row r="8" ht="20.05" customHeight="1">
      <c r="B8" s="30">
        <v>2016</v>
      </c>
      <c r="C8" s="17">
        <v>340</v>
      </c>
      <c r="D8" s="18">
        <v>3669</v>
      </c>
      <c r="E8" s="18">
        <f>D8-C8</f>
        <v>3329</v>
      </c>
      <c r="F8" s="18">
        <f>503+27+3.5</f>
        <v>533.5</v>
      </c>
      <c r="G8" s="18">
        <v>1436</v>
      </c>
      <c r="H8" s="18">
        <v>2233</v>
      </c>
      <c r="I8" s="18">
        <f>G8+H8-C8-E8</f>
        <v>0</v>
      </c>
      <c r="J8" s="18">
        <f>C8-G8</f>
        <v>-1096</v>
      </c>
      <c r="K8" s="18"/>
    </row>
    <row r="9" ht="20.05" customHeight="1">
      <c r="B9" s="29"/>
      <c r="C9" s="17">
        <v>244</v>
      </c>
      <c r="D9" s="18">
        <v>3813</v>
      </c>
      <c r="E9" s="18">
        <f>D9-C9</f>
        <v>3569</v>
      </c>
      <c r="F9" s="18">
        <f>514+27+4</f>
        <v>545</v>
      </c>
      <c r="G9" s="18">
        <v>1580</v>
      </c>
      <c r="H9" s="18">
        <v>2233</v>
      </c>
      <c r="I9" s="18">
        <f>G9+H9-C9-E9</f>
        <v>0</v>
      </c>
      <c r="J9" s="18">
        <f>C9-G9</f>
        <v>-1336</v>
      </c>
      <c r="K9" s="18"/>
    </row>
    <row r="10" ht="20.05" customHeight="1">
      <c r="B10" s="29"/>
      <c r="C10" s="17">
        <v>368</v>
      </c>
      <c r="D10" s="18">
        <v>4292</v>
      </c>
      <c r="E10" s="18">
        <f>D10-C10</f>
        <v>3924</v>
      </c>
      <c r="F10" s="18">
        <f>527+27+4</f>
        <v>558</v>
      </c>
      <c r="G10" s="18">
        <v>1958</v>
      </c>
      <c r="H10" s="18">
        <v>2334</v>
      </c>
      <c r="I10" s="18">
        <f>G10+H10-C10-E10</f>
        <v>0</v>
      </c>
      <c r="J10" s="18">
        <f>C10-G10</f>
        <v>-1590</v>
      </c>
      <c r="K10" s="18"/>
    </row>
    <row r="11" ht="20.05" customHeight="1">
      <c r="B11" s="29"/>
      <c r="C11" s="17">
        <v>648</v>
      </c>
      <c r="D11" s="18">
        <v>4613</v>
      </c>
      <c r="E11" s="18">
        <f>D11-C11</f>
        <v>3965</v>
      </c>
      <c r="F11" s="18">
        <f>28+541+5</f>
        <v>574</v>
      </c>
      <c r="G11" s="18">
        <v>2341</v>
      </c>
      <c r="H11" s="18">
        <v>2272</v>
      </c>
      <c r="I11" s="18">
        <f>G11+H11-C11-E11</f>
        <v>0</v>
      </c>
      <c r="J11" s="18">
        <f>C11-G11</f>
        <v>-1693</v>
      </c>
      <c r="K11" s="18"/>
    </row>
    <row r="12" ht="20.05" customHeight="1">
      <c r="B12" s="30">
        <v>2017</v>
      </c>
      <c r="C12" s="17">
        <v>433</v>
      </c>
      <c r="D12" s="18">
        <v>4483</v>
      </c>
      <c r="E12" s="18">
        <f>D12-C12</f>
        <v>4050</v>
      </c>
      <c r="F12" s="18">
        <f>556+28+5</f>
        <v>589</v>
      </c>
      <c r="G12" s="18">
        <v>2189</v>
      </c>
      <c r="H12" s="18">
        <v>2294</v>
      </c>
      <c r="I12" s="18">
        <f>G12+H12-C12-E12</f>
        <v>0</v>
      </c>
      <c r="J12" s="18">
        <f>C12-G12</f>
        <v>-1756</v>
      </c>
      <c r="K12" s="18"/>
    </row>
    <row r="13" ht="20.05" customHeight="1">
      <c r="B13" s="29"/>
      <c r="C13" s="17">
        <v>390</v>
      </c>
      <c r="D13" s="18">
        <v>4975</v>
      </c>
      <c r="E13" s="18">
        <f>D13-C13</f>
        <v>4585</v>
      </c>
      <c r="F13" s="18">
        <f>571+28+6</f>
        <v>605</v>
      </c>
      <c r="G13" s="18">
        <v>2672</v>
      </c>
      <c r="H13" s="18">
        <v>2303</v>
      </c>
      <c r="I13" s="18">
        <f>G13+H13-C13-E13</f>
        <v>0</v>
      </c>
      <c r="J13" s="18">
        <f>C13-G13</f>
        <v>-2282</v>
      </c>
      <c r="K13" s="18"/>
    </row>
    <row r="14" ht="20.05" customHeight="1">
      <c r="B14" s="29"/>
      <c r="C14" s="17">
        <v>626</v>
      </c>
      <c r="D14" s="18">
        <v>5683</v>
      </c>
      <c r="E14" s="18">
        <f>D14-C14</f>
        <v>5057</v>
      </c>
      <c r="F14" s="18">
        <f>587+28+6</f>
        <v>621</v>
      </c>
      <c r="G14" s="18">
        <v>3258</v>
      </c>
      <c r="H14" s="18">
        <v>2425</v>
      </c>
      <c r="I14" s="18">
        <f>G14+H14-C14-E14</f>
        <v>0</v>
      </c>
      <c r="J14" s="18">
        <f>C14-G14</f>
        <v>-2632</v>
      </c>
      <c r="K14" s="18"/>
    </row>
    <row r="15" ht="20.05" customHeight="1">
      <c r="B15" s="29"/>
      <c r="C15" s="31">
        <v>1137</v>
      </c>
      <c r="D15" s="32">
        <v>7272</v>
      </c>
      <c r="E15" s="32">
        <f>D15-C15</f>
        <v>6135</v>
      </c>
      <c r="F15" s="32">
        <f>719.4+18.4</f>
        <v>737.8</v>
      </c>
      <c r="G15" s="18">
        <v>3998</v>
      </c>
      <c r="H15" s="32">
        <v>3274</v>
      </c>
      <c r="I15" s="18">
        <f>G15+H15-C15-E15</f>
        <v>0</v>
      </c>
      <c r="J15" s="18">
        <f>C15-G15</f>
        <v>-2861</v>
      </c>
      <c r="K15" s="18"/>
    </row>
    <row r="16" ht="20.05" customHeight="1">
      <c r="B16" s="30">
        <v>2018</v>
      </c>
      <c r="C16" s="17">
        <v>700</v>
      </c>
      <c r="D16" s="18">
        <v>6495</v>
      </c>
      <c r="E16" s="18">
        <f>D16-C16</f>
        <v>5795</v>
      </c>
      <c r="F16" s="18">
        <f>622+28+5</f>
        <v>655</v>
      </c>
      <c r="G16" s="18">
        <v>3886</v>
      </c>
      <c r="H16" s="18">
        <v>2609</v>
      </c>
      <c r="I16" s="18">
        <f>G16+H16-C16-E16</f>
        <v>0</v>
      </c>
      <c r="J16" s="18">
        <f>C16-G16</f>
        <v>-3186</v>
      </c>
      <c r="K16" s="18"/>
    </row>
    <row r="17" ht="20.05" customHeight="1">
      <c r="B17" s="29"/>
      <c r="C17" s="17">
        <v>1240</v>
      </c>
      <c r="D17" s="18">
        <v>7941</v>
      </c>
      <c r="E17" s="18">
        <f>D17-C17</f>
        <v>6701</v>
      </c>
      <c r="F17" s="18">
        <f>639+28+6</f>
        <v>673</v>
      </c>
      <c r="G17" s="18">
        <v>5268</v>
      </c>
      <c r="H17" s="18">
        <v>2673</v>
      </c>
      <c r="I17" s="18">
        <f>G17+H17-C17-E17</f>
        <v>0</v>
      </c>
      <c r="J17" s="18">
        <f>C17-G17</f>
        <v>-4028</v>
      </c>
      <c r="K17" s="18"/>
    </row>
    <row r="18" ht="20.05" customHeight="1">
      <c r="B18" s="29"/>
      <c r="C18" s="17">
        <v>1364</v>
      </c>
      <c r="D18" s="18">
        <v>8626</v>
      </c>
      <c r="E18" s="18">
        <f>D18-C18</f>
        <v>7262</v>
      </c>
      <c r="F18" s="18">
        <f>656+28+6</f>
        <v>690</v>
      </c>
      <c r="G18" s="18">
        <v>5842</v>
      </c>
      <c r="H18" s="18">
        <v>2784</v>
      </c>
      <c r="I18" s="18">
        <f>G18+H18-C18-E18</f>
        <v>0</v>
      </c>
      <c r="J18" s="18">
        <f>C18-G18</f>
        <v>-4478</v>
      </c>
      <c r="K18" s="18"/>
    </row>
    <row r="19" ht="20.05" customHeight="1">
      <c r="B19" s="29"/>
      <c r="C19" s="17">
        <v>2069</v>
      </c>
      <c r="D19" s="18">
        <v>11329</v>
      </c>
      <c r="E19" s="18">
        <f>D19-C19</f>
        <v>9260</v>
      </c>
      <c r="F19" s="18">
        <f>890+20+28</f>
        <v>938</v>
      </c>
      <c r="G19" s="18">
        <v>7183</v>
      </c>
      <c r="H19" s="18">
        <v>4146</v>
      </c>
      <c r="I19" s="18">
        <f>G19+H19-C19-E19</f>
        <v>0</v>
      </c>
      <c r="J19" s="18">
        <f>C19-G19</f>
        <v>-5114</v>
      </c>
      <c r="K19" s="18"/>
    </row>
    <row r="20" ht="20.05" customHeight="1">
      <c r="B20" s="30">
        <v>2019</v>
      </c>
      <c r="C20" s="17">
        <v>1360</v>
      </c>
      <c r="D20" s="18">
        <v>18353</v>
      </c>
      <c r="E20" s="18">
        <f>D20-C20</f>
        <v>16993</v>
      </c>
      <c r="F20" s="18">
        <f>922+28+21</f>
        <v>971</v>
      </c>
      <c r="G20" s="18">
        <v>10940</v>
      </c>
      <c r="H20" s="18">
        <v>7413</v>
      </c>
      <c r="I20" s="18">
        <f>G20+H20-C20-E20</f>
        <v>0</v>
      </c>
      <c r="J20" s="18">
        <f>C20-G20</f>
        <v>-9580</v>
      </c>
      <c r="K20" s="18"/>
    </row>
    <row r="21" ht="20.05" customHeight="1">
      <c r="B21" s="29"/>
      <c r="C21" s="17">
        <v>372</v>
      </c>
      <c r="D21" s="18">
        <v>16798</v>
      </c>
      <c r="E21" s="18">
        <f>D21-C21</f>
        <v>16426</v>
      </c>
      <c r="F21" s="18">
        <f>957+21</f>
        <v>978</v>
      </c>
      <c r="G21" s="18">
        <v>8910</v>
      </c>
      <c r="H21" s="18">
        <v>7888</v>
      </c>
      <c r="I21" s="18">
        <f>G21+H21-C21-E21</f>
        <v>0</v>
      </c>
      <c r="J21" s="18">
        <f>C21-G21</f>
        <v>-8538</v>
      </c>
      <c r="K21" s="18"/>
    </row>
    <row r="22" ht="20.05" customHeight="1">
      <c r="B22" s="29"/>
      <c r="C22" s="17">
        <v>574</v>
      </c>
      <c r="D22" s="18">
        <v>17863</v>
      </c>
      <c r="E22" s="18">
        <f>D22-C22</f>
        <v>17289</v>
      </c>
      <c r="F22" s="18">
        <f>990+22</f>
        <v>1012</v>
      </c>
      <c r="G22" s="18">
        <v>9956</v>
      </c>
      <c r="H22" s="18">
        <v>7907</v>
      </c>
      <c r="I22" s="18">
        <f>G22+H22-C22-E22</f>
        <v>0</v>
      </c>
      <c r="J22" s="18">
        <f>C22-G22</f>
        <v>-9382</v>
      </c>
      <c r="K22" s="18"/>
    </row>
    <row r="23" ht="20.05" customHeight="1">
      <c r="B23" s="29"/>
      <c r="C23" s="17">
        <v>1360</v>
      </c>
      <c r="D23" s="18">
        <v>18353</v>
      </c>
      <c r="E23" s="18">
        <f>D23-C23</f>
        <v>16993</v>
      </c>
      <c r="F23" s="18">
        <f>1038.8+22.5</f>
        <v>1061.3</v>
      </c>
      <c r="G23" s="18">
        <v>10940</v>
      </c>
      <c r="H23" s="18">
        <v>7413</v>
      </c>
      <c r="I23" s="18">
        <f>G23+H23-C23-E23</f>
        <v>0</v>
      </c>
      <c r="J23" s="18">
        <f>C23-G23</f>
        <v>-9580</v>
      </c>
      <c r="K23" s="18"/>
    </row>
    <row r="24" ht="20.05" customHeight="1">
      <c r="B24" s="30">
        <v>2020</v>
      </c>
      <c r="C24" s="17">
        <v>707</v>
      </c>
      <c r="D24" s="18">
        <v>17200</v>
      </c>
      <c r="E24" s="18">
        <f>D24-C24</f>
        <v>16493</v>
      </c>
      <c r="F24" s="18">
        <f>1079.3</f>
        <v>1079.3</v>
      </c>
      <c r="G24" s="18">
        <v>10216</v>
      </c>
      <c r="H24" s="18">
        <v>6984</v>
      </c>
      <c r="I24" s="18">
        <f>G24+H24-C24-E24</f>
        <v>0</v>
      </c>
      <c r="J24" s="18">
        <f>C24-G24</f>
        <v>-9509</v>
      </c>
      <c r="K24" s="18"/>
    </row>
    <row r="25" ht="20.05" customHeight="1">
      <c r="B25" s="29"/>
      <c r="C25" s="17">
        <v>617</v>
      </c>
      <c r="D25" s="18">
        <v>17514</v>
      </c>
      <c r="E25" s="18">
        <f>D25-C25</f>
        <v>16897</v>
      </c>
      <c r="F25" s="18">
        <f>38+1121</f>
        <v>1159</v>
      </c>
      <c r="G25" s="18">
        <v>10581</v>
      </c>
      <c r="H25" s="18">
        <v>6933</v>
      </c>
      <c r="I25" s="18">
        <f>G25+H25-C25-E25</f>
        <v>0</v>
      </c>
      <c r="J25" s="18">
        <f>C25-G25</f>
        <v>-9964</v>
      </c>
      <c r="K25" s="18"/>
    </row>
    <row r="26" ht="20.05" customHeight="1">
      <c r="B26" s="29"/>
      <c r="C26" s="17">
        <v>750</v>
      </c>
      <c r="D26" s="18">
        <v>17688</v>
      </c>
      <c r="E26" s="18">
        <f>D26-C26</f>
        <v>16938</v>
      </c>
      <c r="F26" s="18">
        <f>45+1161</f>
        <v>1206</v>
      </c>
      <c r="G26" s="18">
        <v>10773</v>
      </c>
      <c r="H26" s="18">
        <v>6915</v>
      </c>
      <c r="I26" s="18">
        <f>G26+H26-C26-E26</f>
        <v>0</v>
      </c>
      <c r="J26" s="18">
        <f>C26-G26</f>
        <v>-10023</v>
      </c>
      <c r="K26" s="18"/>
    </row>
    <row r="27" ht="20.05" customHeight="1">
      <c r="B27" s="29"/>
      <c r="C27" s="17">
        <v>1250</v>
      </c>
      <c r="D27" s="18">
        <v>17563</v>
      </c>
      <c r="E27" s="18">
        <f>D27-C27</f>
        <v>16313</v>
      </c>
      <c r="F27" s="18">
        <f>25+79+1171</f>
        <v>1275</v>
      </c>
      <c r="G27" s="18">
        <v>10457</v>
      </c>
      <c r="H27" s="18">
        <v>7106</v>
      </c>
      <c r="I27" s="18">
        <f>G27+H27-C27-E27</f>
        <v>0</v>
      </c>
      <c r="J27" s="18">
        <f>C27-G27</f>
        <v>-9207</v>
      </c>
      <c r="K27" s="18"/>
    </row>
    <row r="28" ht="20.05" customHeight="1">
      <c r="B28" s="30">
        <v>2021</v>
      </c>
      <c r="C28" s="17">
        <v>681.2</v>
      </c>
      <c r="D28" s="18">
        <v>17465.8</v>
      </c>
      <c r="E28" s="18">
        <f>D28-C28</f>
        <v>16784.6</v>
      </c>
      <c r="F28" s="18">
        <f>111+1221+26</f>
        <v>1358</v>
      </c>
      <c r="G28" s="18">
        <v>10339.6</v>
      </c>
      <c r="H28" s="18">
        <v>7126</v>
      </c>
      <c r="I28" s="18">
        <f>G28+H28-C28-E28</f>
        <v>-0.2</v>
      </c>
      <c r="J28" s="18">
        <f>C28-G28</f>
        <v>-9658.4</v>
      </c>
      <c r="K28" s="18"/>
    </row>
    <row r="29" ht="20.05" customHeight="1">
      <c r="B29" s="29"/>
      <c r="C29" s="17">
        <v>624</v>
      </c>
      <c r="D29" s="18">
        <v>17783</v>
      </c>
      <c r="E29" s="18">
        <f>D29-C29</f>
        <v>17159</v>
      </c>
      <c r="F29" s="18">
        <f>F28+'Sales'!E29</f>
        <v>1451.9</v>
      </c>
      <c r="G29" s="18">
        <v>10664</v>
      </c>
      <c r="H29" s="18">
        <v>7120</v>
      </c>
      <c r="I29" s="18">
        <f>G29+H29-C29-E29</f>
        <v>1</v>
      </c>
      <c r="J29" s="18">
        <f>C29-G29</f>
        <v>-10040</v>
      </c>
      <c r="K29" s="18"/>
    </row>
    <row r="30" ht="20.05" customHeight="1">
      <c r="B30" s="29"/>
      <c r="C30" s="17">
        <v>661</v>
      </c>
      <c r="D30" s="18">
        <v>18845</v>
      </c>
      <c r="E30" s="18">
        <f>D30-C30</f>
        <v>18184</v>
      </c>
      <c r="F30" s="18">
        <f>27+181+1327</f>
        <v>1535</v>
      </c>
      <c r="G30" s="18">
        <v>11605</v>
      </c>
      <c r="H30" s="18">
        <v>7240</v>
      </c>
      <c r="I30" s="18">
        <f>G30+H30-C30-E30</f>
        <v>0</v>
      </c>
      <c r="J30" s="18">
        <f>C30-G30</f>
        <v>-10944</v>
      </c>
      <c r="K30" s="18"/>
    </row>
    <row r="31" ht="20.05" customHeight="1">
      <c r="B31" s="29"/>
      <c r="C31" s="17">
        <v>748</v>
      </c>
      <c r="D31" s="18">
        <v>17760</v>
      </c>
      <c r="E31" s="18">
        <f>D31-C31</f>
        <v>17012</v>
      </c>
      <c r="F31" s="18">
        <f>1399+223+28</f>
        <v>1650</v>
      </c>
      <c r="G31" s="18">
        <v>10528</v>
      </c>
      <c r="H31" s="18">
        <v>7232</v>
      </c>
      <c r="I31" s="18">
        <f>G31+H31-C31-E31</f>
        <v>0</v>
      </c>
      <c r="J31" s="18">
        <f>C31-G31</f>
        <v>-9780</v>
      </c>
      <c r="K31" s="18"/>
    </row>
    <row r="32" ht="20.05" customHeight="1">
      <c r="B32" s="30">
        <v>2022</v>
      </c>
      <c r="C32" s="17">
        <v>765</v>
      </c>
      <c r="D32" s="18">
        <v>17925</v>
      </c>
      <c r="E32" s="18">
        <f>D32-C32</f>
        <v>17160</v>
      </c>
      <c r="F32" s="18">
        <f>30+253+1462</f>
        <v>1745</v>
      </c>
      <c r="G32" s="18">
        <v>10682</v>
      </c>
      <c r="H32" s="18">
        <v>7243</v>
      </c>
      <c r="I32" s="18">
        <f>G32+H32-C32-E32</f>
        <v>0</v>
      </c>
      <c r="J32" s="18">
        <f>C32-G32</f>
        <v>-9917</v>
      </c>
      <c r="K32" s="18">
        <v>-9443.614146465459</v>
      </c>
    </row>
    <row r="33" ht="20.05" customHeight="1">
      <c r="B33" s="29"/>
      <c r="C33" s="17"/>
      <c r="D33" s="18"/>
      <c r="E33" s="18"/>
      <c r="F33" s="18"/>
      <c r="G33" s="18"/>
      <c r="H33" s="18"/>
      <c r="I33" s="18"/>
      <c r="J33" s="18"/>
      <c r="K33" s="18">
        <f>'Model'!F31</f>
        <v>-9619.933578606930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" style="38" customWidth="1"/>
    <col min="2" max="2" width="5.26562" style="38" customWidth="1"/>
    <col min="3" max="4" width="11.0547" style="38" customWidth="1"/>
    <col min="5" max="16384" width="16.3516" style="38" customWidth="1"/>
  </cols>
  <sheetData>
    <row r="1" ht="34" customHeight="1"/>
    <row r="2" ht="28.65" customHeight="1">
      <c r="B2" t="s" s="39">
        <v>55</v>
      </c>
      <c r="C2" s="39"/>
      <c r="D2" s="39"/>
    </row>
    <row r="3" ht="20.25" customHeight="1">
      <c r="B3" s="4"/>
      <c r="C3" t="s" s="40">
        <v>55</v>
      </c>
      <c r="D3" t="s" s="40">
        <v>56</v>
      </c>
    </row>
    <row r="4" ht="20.25" customHeight="1">
      <c r="B4" s="25">
        <v>2018</v>
      </c>
      <c r="C4" s="26">
        <v>2190</v>
      </c>
      <c r="D4" s="27"/>
    </row>
    <row r="5" ht="20.05" customHeight="1">
      <c r="B5" s="29"/>
      <c r="C5" s="17">
        <v>2360</v>
      </c>
      <c r="D5" s="18"/>
    </row>
    <row r="6" ht="20.05" customHeight="1">
      <c r="B6" s="29"/>
      <c r="C6" s="17">
        <v>2550</v>
      </c>
      <c r="D6" s="18"/>
    </row>
    <row r="7" ht="20.05" customHeight="1">
      <c r="B7" s="29"/>
      <c r="C7" s="17">
        <v>2600</v>
      </c>
      <c r="D7" s="18"/>
    </row>
    <row r="8" ht="20.05" customHeight="1">
      <c r="B8" s="30">
        <v>2019</v>
      </c>
      <c r="C8" s="17">
        <v>3560</v>
      </c>
      <c r="D8" s="18"/>
    </row>
    <row r="9" ht="20.05" customHeight="1">
      <c r="B9" s="29"/>
      <c r="C9" s="17">
        <v>3360</v>
      </c>
      <c r="D9" s="18"/>
    </row>
    <row r="10" ht="20.05" customHeight="1">
      <c r="B10" s="29"/>
      <c r="C10" s="17">
        <v>2900</v>
      </c>
      <c r="D10" s="18"/>
    </row>
    <row r="11" ht="20.05" customHeight="1">
      <c r="B11" s="29"/>
      <c r="C11" s="17">
        <v>1250</v>
      </c>
      <c r="D11" s="18"/>
    </row>
    <row r="12" ht="20.05" customHeight="1">
      <c r="B12" s="30">
        <v>2020</v>
      </c>
      <c r="C12" s="17">
        <v>1310</v>
      </c>
      <c r="D12" s="18"/>
    </row>
    <row r="13" ht="20.05" customHeight="1">
      <c r="B13" s="29"/>
      <c r="C13" s="17">
        <v>1120</v>
      </c>
      <c r="D13" s="18"/>
    </row>
    <row r="14" ht="20.05" customHeight="1">
      <c r="B14" s="29"/>
      <c r="C14" s="17">
        <v>2890</v>
      </c>
      <c r="D14" s="18"/>
    </row>
    <row r="15" ht="20.05" customHeight="1">
      <c r="B15" s="29"/>
      <c r="C15" s="17">
        <v>4250</v>
      </c>
      <c r="D15" s="18"/>
    </row>
    <row r="16" ht="20.05" customHeight="1">
      <c r="B16" s="30">
        <v>2021</v>
      </c>
      <c r="C16" s="17">
        <v>2560</v>
      </c>
      <c r="D16" s="18"/>
    </row>
    <row r="17" ht="20.05" customHeight="1">
      <c r="B17" s="29"/>
      <c r="C17" s="17">
        <v>3140</v>
      </c>
      <c r="D17" s="18"/>
    </row>
    <row r="18" ht="20.05" customHeight="1">
      <c r="B18" s="29"/>
      <c r="C18" s="17">
        <v>2400</v>
      </c>
      <c r="D18" s="18"/>
    </row>
    <row r="19" ht="20.05" customHeight="1">
      <c r="B19" s="29"/>
      <c r="C19" s="17">
        <v>2430</v>
      </c>
      <c r="D19" s="18"/>
    </row>
    <row r="20" ht="20.05" customHeight="1">
      <c r="B20" s="30">
        <v>2022</v>
      </c>
      <c r="C20" s="17">
        <v>1740</v>
      </c>
      <c r="D20" s="18">
        <v>1145.549701456160</v>
      </c>
    </row>
    <row r="21" ht="20.05" customHeight="1">
      <c r="B21" s="29"/>
      <c r="C21" s="17">
        <v>1405</v>
      </c>
      <c r="D21" s="18">
        <v>1145.549701456160</v>
      </c>
    </row>
    <row r="22" ht="20.05" customHeight="1">
      <c r="B22" s="29"/>
      <c r="C22" s="17"/>
      <c r="D22" s="18">
        <f>'Model'!F44</f>
        <v>950.612548457824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2:U4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0.7422" style="41" customWidth="1"/>
    <col min="2" max="9" width="12.3984" style="41" customWidth="1"/>
    <col min="10" max="21" width="11.375" style="43" customWidth="1"/>
    <col min="22" max="16384" width="16.3516" style="43" customWidth="1"/>
  </cols>
  <sheetData>
    <row r="1" ht="27.65" customHeight="1">
      <c r="B1" t="s" s="2">
        <v>57</v>
      </c>
      <c r="C1" s="2"/>
      <c r="D1" s="2"/>
      <c r="E1" s="2"/>
      <c r="F1" s="2"/>
      <c r="G1" s="2"/>
      <c r="H1" s="2"/>
      <c r="I1" s="2"/>
    </row>
    <row r="2" ht="20.25" customHeight="1">
      <c r="B2" t="s" s="5">
        <v>1</v>
      </c>
      <c r="C2" t="s" s="5">
        <v>11</v>
      </c>
      <c r="D2" t="s" s="5">
        <v>26</v>
      </c>
      <c r="E2" t="s" s="5">
        <v>58</v>
      </c>
      <c r="F2" t="s" s="5">
        <v>11</v>
      </c>
      <c r="G2" t="s" s="5">
        <v>26</v>
      </c>
      <c r="H2" t="s" s="5">
        <v>58</v>
      </c>
      <c r="I2" s="4"/>
    </row>
    <row r="3" ht="20.25" customHeight="1">
      <c r="B3" s="25">
        <v>2008</v>
      </c>
      <c r="C3" s="26"/>
      <c r="D3" s="27"/>
      <c r="E3" s="27">
        <f>C3+D3</f>
        <v>0</v>
      </c>
      <c r="F3" s="27">
        <f>C3</f>
        <v>0</v>
      </c>
      <c r="G3" s="27">
        <f>D3</f>
        <v>0</v>
      </c>
      <c r="H3" s="27">
        <f>E3</f>
        <v>0</v>
      </c>
      <c r="I3" s="8"/>
    </row>
    <row r="4" ht="20.05" customHeight="1">
      <c r="B4" s="30">
        <v>2009</v>
      </c>
      <c r="C4" s="17"/>
      <c r="D4" s="18"/>
      <c r="E4" s="18">
        <f>C4+D4</f>
        <v>0</v>
      </c>
      <c r="F4" s="18">
        <f>C4+F3</f>
        <v>0</v>
      </c>
      <c r="G4" s="18">
        <f>D4+G3</f>
        <v>0</v>
      </c>
      <c r="H4" s="18">
        <f>E4+H3</f>
        <v>0</v>
      </c>
      <c r="I4" s="21"/>
    </row>
    <row r="5" ht="20.05" customHeight="1">
      <c r="B5" s="30">
        <f>1+$B4</f>
        <v>2010</v>
      </c>
      <c r="C5" s="17">
        <v>-21</v>
      </c>
      <c r="D5" s="18">
        <v>0</v>
      </c>
      <c r="E5" s="18">
        <f>C5+D5</f>
        <v>-21</v>
      </c>
      <c r="F5" s="18">
        <f>C5+F4</f>
        <v>-21</v>
      </c>
      <c r="G5" s="18">
        <f>D5+G4</f>
        <v>0</v>
      </c>
      <c r="H5" s="18">
        <f>E5+H4</f>
        <v>-21</v>
      </c>
      <c r="I5" s="21"/>
    </row>
    <row r="6" ht="20.05" customHeight="1">
      <c r="B6" s="30">
        <f>1+$B5</f>
        <v>2011</v>
      </c>
      <c r="C6" s="17">
        <v>-25</v>
      </c>
      <c r="D6" s="18">
        <v>-46</v>
      </c>
      <c r="E6" s="18">
        <f>C6+D6</f>
        <v>-71</v>
      </c>
      <c r="F6" s="18">
        <f>C6+F5</f>
        <v>-46</v>
      </c>
      <c r="G6" s="18">
        <f>D6+G5</f>
        <v>-46</v>
      </c>
      <c r="H6" s="18">
        <f>E6+H5</f>
        <v>-92</v>
      </c>
      <c r="I6" s="21"/>
    </row>
    <row r="7" ht="20.05" customHeight="1">
      <c r="B7" s="30">
        <f>1+$B6</f>
        <v>2012</v>
      </c>
      <c r="C7" s="17">
        <v>-9</v>
      </c>
      <c r="D7" s="18">
        <v>-34</v>
      </c>
      <c r="E7" s="18">
        <f>C7+D7</f>
        <v>-43</v>
      </c>
      <c r="F7" s="18">
        <f>C7+F6</f>
        <v>-55</v>
      </c>
      <c r="G7" s="18">
        <f>D7+G6</f>
        <v>-80</v>
      </c>
      <c r="H7" s="18">
        <f>E7+H6</f>
        <v>-135</v>
      </c>
      <c r="I7" s="21"/>
    </row>
    <row r="8" ht="20.05" customHeight="1">
      <c r="B8" s="30">
        <f>1+$B7</f>
        <v>2013</v>
      </c>
      <c r="C8" s="17">
        <v>-30</v>
      </c>
      <c r="D8" s="18">
        <v>-31</v>
      </c>
      <c r="E8" s="18">
        <f>C8+D8</f>
        <v>-61</v>
      </c>
      <c r="F8" s="18">
        <f>C8+F7</f>
        <v>-85</v>
      </c>
      <c r="G8" s="18">
        <f>D8+G7</f>
        <v>-111</v>
      </c>
      <c r="H8" s="18">
        <f>E8+H7</f>
        <v>-196</v>
      </c>
      <c r="I8" s="21"/>
    </row>
    <row r="9" ht="20.05" customHeight="1">
      <c r="B9" s="30">
        <f>1+$B8</f>
        <v>2014</v>
      </c>
      <c r="C9" s="17">
        <v>284</v>
      </c>
      <c r="D9" s="18">
        <v>-54</v>
      </c>
      <c r="E9" s="18">
        <f>C9+D9</f>
        <v>230</v>
      </c>
      <c r="F9" s="18">
        <f>C9+F8</f>
        <v>199</v>
      </c>
      <c r="G9" s="18">
        <f>D9+G8</f>
        <v>-165</v>
      </c>
      <c r="H9" s="18">
        <f>E9+H8</f>
        <v>34</v>
      </c>
      <c r="I9" s="21"/>
    </row>
    <row r="10" ht="20.05" customHeight="1">
      <c r="B10" s="30">
        <f>1+$B9</f>
        <v>2015</v>
      </c>
      <c r="C10" s="17">
        <v>-11</v>
      </c>
      <c r="D10" s="18">
        <v>-47</v>
      </c>
      <c r="E10" s="18">
        <f>C10+D10</f>
        <v>-58</v>
      </c>
      <c r="F10" s="18">
        <f>C10+F9</f>
        <v>188</v>
      </c>
      <c r="G10" s="18">
        <f>D10+G9</f>
        <v>-212</v>
      </c>
      <c r="H10" s="18">
        <f>E10+H9</f>
        <v>-24</v>
      </c>
      <c r="I10" s="21"/>
    </row>
    <row r="11" ht="20.05" customHeight="1">
      <c r="B11" s="30">
        <f>1+$B10</f>
        <v>2016</v>
      </c>
      <c r="C11" s="42">
        <f>468+1-D11</f>
        <v>498</v>
      </c>
      <c r="D11" s="33">
        <f>21-50</f>
        <v>-29</v>
      </c>
      <c r="E11" s="18">
        <f>C11+D11</f>
        <v>469</v>
      </c>
      <c r="F11" s="18">
        <f>C11+F10</f>
        <v>686</v>
      </c>
      <c r="G11" s="18">
        <f>D11+G10</f>
        <v>-241</v>
      </c>
      <c r="H11" s="18">
        <f>E11+H10</f>
        <v>445</v>
      </c>
      <c r="I11" s="21"/>
    </row>
    <row r="12" ht="20.05" customHeight="1">
      <c r="B12" s="30">
        <f>1+$B11</f>
        <v>2017</v>
      </c>
      <c r="C12" s="17">
        <f>1147+4-D12</f>
        <v>1198</v>
      </c>
      <c r="D12" s="18">
        <f>-54+7</f>
        <v>-47</v>
      </c>
      <c r="E12" s="18">
        <f>C12+D12</f>
        <v>1151</v>
      </c>
      <c r="F12" s="18">
        <f>C12+F11</f>
        <v>1884</v>
      </c>
      <c r="G12" s="18">
        <f>D12+G11</f>
        <v>-288</v>
      </c>
      <c r="H12" s="18">
        <f>E12+H11</f>
        <v>1596</v>
      </c>
      <c r="I12" s="21"/>
    </row>
    <row r="13" ht="20.05" customHeight="1">
      <c r="B13" s="30">
        <f>1+$B12</f>
        <v>2018</v>
      </c>
      <c r="C13" s="17">
        <f>1842+2-D13</f>
        <v>1936</v>
      </c>
      <c r="D13" s="18">
        <f>-98+6</f>
        <v>-92</v>
      </c>
      <c r="E13" s="18">
        <f>C13+D13</f>
        <v>1844</v>
      </c>
      <c r="F13" s="18">
        <f>C13+F12</f>
        <v>3820</v>
      </c>
      <c r="G13" s="18">
        <f>D13+G12</f>
        <v>-380</v>
      </c>
      <c r="H13" s="18">
        <f>E13+H12</f>
        <v>3440</v>
      </c>
      <c r="I13" s="21"/>
    </row>
    <row r="14" ht="20.05" customHeight="1">
      <c r="B14" s="30">
        <f>1+$B13</f>
        <v>2019</v>
      </c>
      <c r="C14" s="17">
        <f>3275+9-D14</f>
        <v>3407</v>
      </c>
      <c r="D14" s="18">
        <v>-123</v>
      </c>
      <c r="E14" s="18">
        <f>C14+D14</f>
        <v>3284</v>
      </c>
      <c r="F14" s="18">
        <f>C14+F13</f>
        <v>7227</v>
      </c>
      <c r="G14" s="18">
        <f>D14+G13</f>
        <v>-503</v>
      </c>
      <c r="H14" s="18">
        <f>E14+H13</f>
        <v>6724</v>
      </c>
      <c r="I14" s="21"/>
    </row>
    <row r="15" ht="20.05" customHeight="1">
      <c r="B15" s="30">
        <f>1+$B14</f>
        <v>2020</v>
      </c>
      <c r="C15" s="17">
        <f>-590+7-D15</f>
        <v>-551</v>
      </c>
      <c r="D15" s="18">
        <v>-32</v>
      </c>
      <c r="E15" s="18">
        <f>C15+D15</f>
        <v>-583</v>
      </c>
      <c r="F15" s="18">
        <f>C15+F14</f>
        <v>6676</v>
      </c>
      <c r="G15" s="18">
        <f>D15+G14</f>
        <v>-535</v>
      </c>
      <c r="H15" s="18">
        <f>E15+H14</f>
        <v>6141</v>
      </c>
      <c r="I15" s="21"/>
    </row>
    <row r="16" ht="20.05" customHeight="1">
      <c r="B16" s="30">
        <f>1+$B15</f>
        <v>2021</v>
      </c>
      <c r="C16" s="17">
        <f>SUM('Cashflow '!G28:G31)</f>
        <v>125.362</v>
      </c>
      <c r="D16" s="18">
        <f>SUM('Cashflow '!H28:H31)</f>
        <v>243.4</v>
      </c>
      <c r="E16" s="18">
        <f>C16+D16</f>
        <v>368.762</v>
      </c>
      <c r="F16" s="18">
        <f>C16+F15</f>
        <v>6801.362</v>
      </c>
      <c r="G16" s="18">
        <f>D16+G15</f>
        <v>-291.6</v>
      </c>
      <c r="H16" s="18">
        <f>E16+H15</f>
        <v>6509.762</v>
      </c>
      <c r="I16" s="21"/>
    </row>
    <row r="18" ht="27.65" customHeight="1">
      <c r="J18" t="s" s="2">
        <v>59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20.25" customHeight="1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20.25" customHeight="1">
      <c r="J20" s="44"/>
      <c r="K20" t="s" s="45">
        <v>60</v>
      </c>
      <c r="L20" s="46">
        <v>7803369820160</v>
      </c>
      <c r="M20" s="8"/>
      <c r="N20" s="8"/>
      <c r="O20" s="8"/>
      <c r="P20" s="8"/>
      <c r="Q20" s="8"/>
      <c r="R20" s="8"/>
      <c r="S20" s="8"/>
      <c r="T20" s="8"/>
      <c r="U20" s="8"/>
    </row>
    <row r="21" ht="44.05" customHeight="1">
      <c r="J21" s="29"/>
      <c r="K21" t="s" s="47">
        <v>55</v>
      </c>
      <c r="L21" t="s" s="48">
        <v>61</v>
      </c>
      <c r="M21" s="16">
        <f>S40</f>
        <v>-0.0137272745581349</v>
      </c>
      <c r="N21" t="s" s="48">
        <f>T40</f>
        <v>62</v>
      </c>
      <c r="O21" t="s" s="48">
        <f>U40</f>
        <v>63</v>
      </c>
      <c r="P21" s="21"/>
      <c r="Q21" s="21"/>
      <c r="R21" s="21"/>
      <c r="S21" s="21"/>
      <c r="T21" s="21"/>
      <c r="U21" s="21"/>
    </row>
    <row r="22" ht="20.05" customHeight="1">
      <c r="J22" s="29"/>
      <c r="K22" s="49">
        <v>44658.958333333336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ht="20.05" customHeight="1">
      <c r="J23" s="29"/>
      <c r="K23" t="s" s="47">
        <v>64</v>
      </c>
      <c r="L23" s="33">
        <f>$B5</f>
        <v>2010</v>
      </c>
      <c r="M23" s="21"/>
      <c r="N23" s="21"/>
      <c r="O23" s="21"/>
      <c r="P23" s="21"/>
      <c r="Q23" s="21"/>
      <c r="R23" s="21"/>
      <c r="S23" s="21"/>
      <c r="T23" s="21"/>
      <c r="U23" s="21"/>
    </row>
    <row r="24" ht="32.05" customHeight="1">
      <c r="J24" s="29"/>
      <c r="K24" t="s" s="47">
        <v>65</v>
      </c>
      <c r="L24" s="33">
        <f>(2022-L23)*4</f>
        <v>48</v>
      </c>
      <c r="M24" s="21"/>
      <c r="N24" s="21"/>
      <c r="O24" s="21"/>
      <c r="P24" s="21"/>
      <c r="Q24" s="21"/>
      <c r="R24" s="21"/>
      <c r="S24" s="21"/>
      <c r="T24" s="21"/>
      <c r="U24" s="21"/>
    </row>
    <row r="25" ht="32.05" customHeight="1">
      <c r="J25" s="29"/>
      <c r="K25" t="s" s="47">
        <v>66</v>
      </c>
      <c r="L25" s="18">
        <f>(L20/1000000000)</f>
        <v>7803.36982016</v>
      </c>
      <c r="M25" s="21"/>
      <c r="N25" s="21"/>
      <c r="O25" s="21"/>
      <c r="P25" s="21"/>
      <c r="Q25" s="21"/>
      <c r="R25" s="21"/>
      <c r="S25" s="21"/>
      <c r="T25" s="21"/>
      <c r="U25" s="21"/>
    </row>
    <row r="26" ht="20.05" customHeight="1">
      <c r="J26" s="29"/>
      <c r="K26" t="s" s="47">
        <v>11</v>
      </c>
      <c r="L26" s="18">
        <f>Q30</f>
        <v>6801.362</v>
      </c>
      <c r="M26" t="s" s="48">
        <f>Q27</f>
        <v>67</v>
      </c>
      <c r="N26" t="s" s="48">
        <f>IF(L26&gt;0,"raised","paid")</f>
        <v>68</v>
      </c>
      <c r="O26" s="21"/>
      <c r="P26" s="21"/>
      <c r="Q26" s="21"/>
      <c r="R26" s="21"/>
      <c r="S26" s="21"/>
      <c r="T26" s="21"/>
      <c r="U26" s="21"/>
    </row>
    <row r="27" ht="32.05" customHeight="1">
      <c r="J27" s="29"/>
      <c r="K27" t="s" s="47">
        <f>K21</f>
        <v>55</v>
      </c>
      <c r="L27" t="s" s="48">
        <v>69</v>
      </c>
      <c r="M27" t="s" s="48">
        <f>IF(P27&gt;0,"raised","paid")</f>
        <v>68</v>
      </c>
      <c r="N27" t="s" s="48">
        <v>70</v>
      </c>
      <c r="O27" t="s" s="48">
        <v>71</v>
      </c>
      <c r="P27" s="18">
        <f>AVERAGE(C5:C16)</f>
        <v>566.780166666667</v>
      </c>
      <c r="Q27" t="s" s="48">
        <v>67</v>
      </c>
      <c r="R27" t="s" s="48">
        <v>72</v>
      </c>
      <c r="S27" s="16">
        <f>P27/L25</f>
        <v>0.0726327445358787</v>
      </c>
      <c r="T27" t="s" s="48">
        <v>62</v>
      </c>
      <c r="U27" s="21"/>
    </row>
    <row r="28" ht="32.05" customHeight="1">
      <c r="J28" s="29"/>
      <c r="K28" t="s" s="47">
        <v>73</v>
      </c>
      <c r="L28" t="s" s="48">
        <f>N27</f>
        <v>70</v>
      </c>
      <c r="M28" t="s" s="48">
        <v>74</v>
      </c>
      <c r="N28" t="s" s="48">
        <f>IF(P28&gt;0,"raised","paid")</f>
        <v>68</v>
      </c>
      <c r="O28" t="s" s="48">
        <v>71</v>
      </c>
      <c r="P28" s="18">
        <f>AVERAGE(C12:C16)</f>
        <v>1223.0724</v>
      </c>
      <c r="Q28" t="s" s="48">
        <f>Q27</f>
        <v>67</v>
      </c>
      <c r="R28" t="s" s="48">
        <v>72</v>
      </c>
      <c r="S28" s="16">
        <f>P28/L25</f>
        <v>0.156736439280398</v>
      </c>
      <c r="T28" t="s" s="48">
        <v>62</v>
      </c>
      <c r="U28" s="21"/>
    </row>
    <row r="29" ht="44.05" customHeight="1">
      <c r="J29" s="29"/>
      <c r="K29" t="s" s="47">
        <v>75</v>
      </c>
      <c r="L29" t="s" s="48">
        <v>76</v>
      </c>
      <c r="M29" s="18">
        <f>MAX(F5:F16)</f>
        <v>7227</v>
      </c>
      <c r="N29" t="s" s="48">
        <f>Q28</f>
        <v>67</v>
      </c>
      <c r="O29" t="s" s="48">
        <v>77</v>
      </c>
      <c r="P29" s="33">
        <f>$B14</f>
        <v>2019</v>
      </c>
      <c r="Q29" s="21"/>
      <c r="R29" s="21"/>
      <c r="S29" s="21"/>
      <c r="T29" s="21"/>
      <c r="U29" s="21"/>
    </row>
    <row r="30" ht="32.05" customHeight="1">
      <c r="J30" s="29"/>
      <c r="K30" t="s" s="47">
        <v>78</v>
      </c>
      <c r="L30" t="s" s="48">
        <f>L28</f>
        <v>70</v>
      </c>
      <c r="M30" t="s" s="48">
        <v>79</v>
      </c>
      <c r="N30" t="s" s="48">
        <v>80</v>
      </c>
      <c r="O30" t="s" s="48">
        <f>IF(Q30&lt;M29,"down","up")</f>
        <v>81</v>
      </c>
      <c r="P30" t="s" s="48">
        <v>82</v>
      </c>
      <c r="Q30" s="18">
        <f>F16</f>
        <v>6801.362</v>
      </c>
      <c r="R30" t="s" s="48">
        <f>Q28</f>
        <v>67</v>
      </c>
      <c r="S30" s="21"/>
      <c r="T30" s="21"/>
      <c r="U30" s="21"/>
    </row>
    <row r="31" ht="20.05" customHeight="1">
      <c r="J31" s="29"/>
      <c r="K31" t="s" s="47">
        <v>26</v>
      </c>
      <c r="L31" s="18">
        <f>Q35</f>
        <v>-291.6</v>
      </c>
      <c r="M31" t="s" s="48">
        <f>R30</f>
        <v>67</v>
      </c>
      <c r="N31" t="s" s="48">
        <f>IF(L31&gt;0,"raised","paid")</f>
        <v>83</v>
      </c>
      <c r="O31" s="21"/>
      <c r="P31" s="21"/>
      <c r="Q31" s="21"/>
      <c r="R31" s="21"/>
      <c r="S31" s="21"/>
      <c r="T31" s="21"/>
      <c r="U31" s="21"/>
    </row>
    <row r="32" ht="32.05" customHeight="1">
      <c r="J32" s="29"/>
      <c r="K32" t="s" s="47">
        <f>K27</f>
        <v>55</v>
      </c>
      <c r="L32" t="s" s="48">
        <v>69</v>
      </c>
      <c r="M32" t="s" s="48">
        <f>IF(P32&gt;0,"raised","paid")</f>
        <v>83</v>
      </c>
      <c r="N32" t="s" s="48">
        <v>84</v>
      </c>
      <c r="O32" t="s" s="48">
        <f>O27</f>
        <v>71</v>
      </c>
      <c r="P32" s="18">
        <f>AVERAGE(D5:D16)</f>
        <v>-24.3</v>
      </c>
      <c r="Q32" t="s" s="48">
        <f>Q27</f>
        <v>67</v>
      </c>
      <c r="R32" t="s" s="48">
        <f>R27</f>
        <v>72</v>
      </c>
      <c r="S32" s="16">
        <f>P32/L25</f>
        <v>-0.00311403926252745</v>
      </c>
      <c r="T32" t="s" s="48">
        <f>T27</f>
        <v>62</v>
      </c>
      <c r="U32" s="21"/>
    </row>
    <row r="33" ht="32.05" customHeight="1">
      <c r="J33" s="29"/>
      <c r="K33" t="s" s="47">
        <v>73</v>
      </c>
      <c r="L33" t="s" s="48">
        <f>N32</f>
        <v>84</v>
      </c>
      <c r="M33" t="s" s="48">
        <v>85</v>
      </c>
      <c r="N33" t="s" s="48">
        <f>IF(P33&gt;0,"raised","paid")</f>
        <v>83</v>
      </c>
      <c r="O33" t="s" s="48">
        <v>71</v>
      </c>
      <c r="P33" s="18">
        <f>AVERAGE(D12:D16)</f>
        <v>-10.12</v>
      </c>
      <c r="Q33" t="s" s="48">
        <f>Q32</f>
        <v>67</v>
      </c>
      <c r="R33" t="s" s="48">
        <v>72</v>
      </c>
      <c r="S33" s="16">
        <f>P33/L25</f>
        <v>-0.00129687561056699</v>
      </c>
      <c r="T33" t="s" s="48">
        <f>T28</f>
        <v>62</v>
      </c>
      <c r="U33" s="21"/>
    </row>
    <row r="34" ht="44.05" customHeight="1">
      <c r="J34" s="29"/>
      <c r="K34" t="s" s="47">
        <v>86</v>
      </c>
      <c r="L34" t="s" s="48">
        <v>76</v>
      </c>
      <c r="M34" s="18">
        <f>MAX(G5:G16)</f>
        <v>0</v>
      </c>
      <c r="N34" t="s" s="48">
        <f>Q33</f>
        <v>67</v>
      </c>
      <c r="O34" t="s" s="48">
        <v>77</v>
      </c>
      <c r="P34" s="33">
        <f>$B5</f>
        <v>2010</v>
      </c>
      <c r="Q34" s="21"/>
      <c r="R34" s="21"/>
      <c r="S34" s="21"/>
      <c r="T34" s="21"/>
      <c r="U34" s="21"/>
    </row>
    <row r="35" ht="32.05" customHeight="1">
      <c r="J35" s="29"/>
      <c r="K35" t="s" s="47">
        <v>78</v>
      </c>
      <c r="L35" t="s" s="48">
        <f>L33</f>
        <v>84</v>
      </c>
      <c r="M35" t="s" s="48">
        <v>79</v>
      </c>
      <c r="N35" t="s" s="48">
        <v>87</v>
      </c>
      <c r="O35" t="s" s="48">
        <f>IF(Q35&lt;M34,"down","up")</f>
        <v>81</v>
      </c>
      <c r="P35" t="s" s="48">
        <v>82</v>
      </c>
      <c r="Q35" s="18">
        <f>G16</f>
        <v>-291.6</v>
      </c>
      <c r="R35" t="s" s="48">
        <f>Q33</f>
        <v>67</v>
      </c>
      <c r="S35" s="21"/>
      <c r="T35" s="21"/>
      <c r="U35" s="21"/>
    </row>
    <row r="36" ht="20.05" customHeight="1">
      <c r="J36" s="29"/>
      <c r="K36" t="s" s="47">
        <v>88</v>
      </c>
      <c r="L36" s="18">
        <f>Q40</f>
        <v>6509.762</v>
      </c>
      <c r="M36" t="s" s="48">
        <f>R35</f>
        <v>67</v>
      </c>
      <c r="N36" t="s" s="48">
        <f>IF(L36&gt;0,"raised","paid")</f>
        <v>68</v>
      </c>
      <c r="O36" s="21"/>
      <c r="P36" s="21"/>
      <c r="Q36" s="21"/>
      <c r="R36" s="21"/>
      <c r="S36" s="21"/>
      <c r="T36" s="21"/>
      <c r="U36" s="21"/>
    </row>
    <row r="37" ht="32.05" customHeight="1">
      <c r="J37" s="29"/>
      <c r="K37" t="s" s="47">
        <f>K32</f>
        <v>55</v>
      </c>
      <c r="L37" t="s" s="48">
        <v>69</v>
      </c>
      <c r="M37" t="s" s="48">
        <f>IF(P37&gt;0,"raised","paid")</f>
        <v>68</v>
      </c>
      <c r="N37" t="s" s="48">
        <v>89</v>
      </c>
      <c r="O37" t="s" s="48">
        <f>O32</f>
        <v>71</v>
      </c>
      <c r="P37" s="18">
        <f>AVERAGE(E5:E16)</f>
        <v>542.4801666666669</v>
      </c>
      <c r="Q37" t="s" s="48">
        <f>Q32</f>
        <v>67</v>
      </c>
      <c r="R37" t="s" s="48">
        <f>R32</f>
        <v>72</v>
      </c>
      <c r="S37" s="16">
        <f>P37/L25</f>
        <v>0.0695187052733513</v>
      </c>
      <c r="T37" t="s" s="48">
        <f>T32</f>
        <v>62</v>
      </c>
      <c r="U37" s="21"/>
    </row>
    <row r="38" ht="32.05" customHeight="1">
      <c r="J38" s="29"/>
      <c r="K38" t="s" s="47">
        <v>73</v>
      </c>
      <c r="L38" t="s" s="48">
        <f>N37</f>
        <v>89</v>
      </c>
      <c r="M38" t="s" s="48">
        <v>85</v>
      </c>
      <c r="N38" t="s" s="48">
        <f>IF(P38&gt;0,"raised","paid")</f>
        <v>68</v>
      </c>
      <c r="O38" t="s" s="48">
        <v>71</v>
      </c>
      <c r="P38" s="18">
        <f>AVERAGE(E12:E16)</f>
        <v>1212.9524</v>
      </c>
      <c r="Q38" t="s" s="48">
        <f>Q37</f>
        <v>67</v>
      </c>
      <c r="R38" t="s" s="48">
        <v>72</v>
      </c>
      <c r="S38" s="16">
        <f>P38/L25</f>
        <v>0.155439563669831</v>
      </c>
      <c r="T38" t="s" s="48">
        <f>T33</f>
        <v>62</v>
      </c>
      <c r="U38" s="21"/>
    </row>
    <row r="39" ht="44.05" customHeight="1">
      <c r="J39" s="29"/>
      <c r="K39" t="s" s="47">
        <v>90</v>
      </c>
      <c r="L39" t="s" s="48">
        <v>76</v>
      </c>
      <c r="M39" s="18">
        <f>MAX(H5:H16)</f>
        <v>6724</v>
      </c>
      <c r="N39" t="s" s="48">
        <f>Q38</f>
        <v>67</v>
      </c>
      <c r="O39" t="s" s="48">
        <v>77</v>
      </c>
      <c r="P39" s="33">
        <f>$B14</f>
        <v>2019</v>
      </c>
      <c r="Q39" s="21"/>
      <c r="R39" s="21"/>
      <c r="S39" s="21"/>
      <c r="T39" s="21"/>
      <c r="U39" s="21"/>
    </row>
    <row r="40" ht="44.05" customHeight="1">
      <c r="J40" s="29"/>
      <c r="K40" t="s" s="47">
        <v>78</v>
      </c>
      <c r="L40" t="s" s="48">
        <f>L38</f>
        <v>89</v>
      </c>
      <c r="M40" t="s" s="48">
        <v>79</v>
      </c>
      <c r="N40" t="s" s="48">
        <v>87</v>
      </c>
      <c r="O40" t="s" s="48">
        <f>IF(Q40&lt;M39,"down","up")</f>
        <v>81</v>
      </c>
      <c r="P40" t="s" s="48">
        <v>82</v>
      </c>
      <c r="Q40" s="18">
        <f>H16</f>
        <v>6509.762</v>
      </c>
      <c r="R40" t="s" s="48">
        <f>Q38</f>
        <v>67</v>
      </c>
      <c r="S40" s="16">
        <f>AVERAGE(E15:E16)/L25</f>
        <v>-0.0137272745581349</v>
      </c>
      <c r="T40" t="s" s="48">
        <f>T38</f>
        <v>62</v>
      </c>
      <c r="U40" t="s" s="48">
        <v>63</v>
      </c>
    </row>
  </sheetData>
  <mergeCells count="2">
    <mergeCell ref="B1:I1"/>
    <mergeCell ref="J18:U1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