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</sheets>
</workbook>
</file>

<file path=xl/sharedStrings.xml><?xml version="1.0" encoding="utf-8"?>
<sst xmlns="http://schemas.openxmlformats.org/spreadsheetml/2006/main" uniqueCount="60">
  <si>
    <t>Financial model</t>
  </si>
  <si>
    <t>$m</t>
  </si>
  <si>
    <t>4Q 2021</t>
  </si>
  <si>
    <t xml:space="preserve">Cashflow </t>
  </si>
  <si>
    <t xml:space="preserve">Growth </t>
  </si>
  <si>
    <t xml:space="preserve">Sales </t>
  </si>
  <si>
    <t>Cost ratio</t>
  </si>
  <si>
    <t>Cash costs</t>
  </si>
  <si>
    <t xml:space="preserve">Operating </t>
  </si>
  <si>
    <t xml:space="preserve">Investment </t>
  </si>
  <si>
    <t xml:space="preserve">Finance </t>
  </si>
  <si>
    <t xml:space="preserve">Liabilities </t>
  </si>
  <si>
    <t>Equity</t>
  </si>
  <si>
    <t xml:space="preserve">Revolver </t>
  </si>
  <si>
    <t xml:space="preserve">Before revolver </t>
  </si>
  <si>
    <t>Beginning</t>
  </si>
  <si>
    <t xml:space="preserve">Change </t>
  </si>
  <si>
    <t>Ending</t>
  </si>
  <si>
    <t xml:space="preserve">Profit 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</si>
  <si>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</si>
  <si>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</si>
  <si>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</si>
  <si>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</si>
  <si>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</si>
  <si>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 xml:space="preserve">Net other assets </t>
  </si>
  <si>
    <t xml:space="preserve">Equity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</si>
  <si>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</si>
  <si>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</si>
  <si>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</si>
  <si>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</si>
  <si>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</si>
  <si>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 xml:space="preserve">P/assets </t>
  </si>
  <si>
    <t>Yield</t>
  </si>
  <si>
    <t xml:space="preserve">Payback years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</si>
  <si>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</si>
  <si>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</si>
  <si>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</si>
  <si>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</si>
  <si>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</si>
  <si>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</si>
  <si>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</si>
  <si>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>Sales</t>
  </si>
  <si>
    <t>Rp bn</t>
  </si>
  <si>
    <t>Net profit</t>
  </si>
  <si>
    <t xml:space="preserve">Sales growth </t>
  </si>
  <si>
    <t xml:space="preserve">Cost ratio </t>
  </si>
  <si>
    <t>Cashflow costs</t>
  </si>
  <si>
    <t>Cashflow</t>
  </si>
  <si>
    <t>Receipts</t>
  </si>
  <si>
    <t>Capex</t>
  </si>
  <si>
    <t>Finance</t>
  </si>
  <si>
    <t xml:space="preserve">Free cashflow </t>
  </si>
  <si>
    <t>Capital</t>
  </si>
  <si>
    <t xml:space="preserve">Cash </t>
  </si>
  <si>
    <t>Assets</t>
  </si>
  <si>
    <t>Check</t>
  </si>
  <si>
    <t>Net cash</t>
  </si>
  <si>
    <t>Jaya Agri Wattie Tbk (JAWA) Historical Prices - Investing.com</t>
  </si>
  <si>
    <t>JAWA</t>
  </si>
  <si>
    <t>Target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</si>
</sst>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#,##0.0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7" fontId="0" borderId="6" applyNumberFormat="1" applyFont="1" applyFill="0" applyBorder="1" applyAlignment="1" applyProtection="0">
      <alignment vertical="top" wrapText="1"/>
    </xf>
    <xf numFmtId="37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49" fontId="0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0" fontId="2" fillId="2" borderId="1" applyNumberFormat="0" applyFont="1" applyFill="1" applyBorder="1" applyAlignment="1" applyProtection="0">
      <alignment vertical="top"/>
    </xf>
    <xf numFmtId="49" fontId="2" fillId="2" borderId="1" applyNumberFormat="1" applyFont="1" applyFill="1" applyBorder="1" applyAlignment="1" applyProtection="0">
      <alignment vertical="top"/>
    </xf>
    <xf numFmtId="0" fontId="2" fillId="4" borderId="2" applyNumberFormat="1" applyFont="1" applyFill="1" applyBorder="1" applyAlignment="1" applyProtection="0">
      <alignment vertical="top"/>
    </xf>
    <xf numFmtId="1" fontId="0" borderId="3" applyNumberFormat="1" applyFont="1" applyFill="0" applyBorder="1" applyAlignment="1" applyProtection="0">
      <alignment vertical="top"/>
    </xf>
    <xf numFmtId="3" fontId="0" borderId="4" applyNumberFormat="1" applyFont="1" applyFill="0" applyBorder="1" applyAlignment="1" applyProtection="0">
      <alignment vertical="top"/>
    </xf>
    <xf numFmtId="0" fontId="2" fillId="4" borderId="5" applyNumberFormat="0" applyFont="1" applyFill="1" applyBorder="1" applyAlignment="1" applyProtection="0">
      <alignment vertical="top"/>
    </xf>
    <xf numFmtId="1" fontId="0" borderId="6" applyNumberFormat="1" applyFont="1" applyFill="0" applyBorder="1" applyAlignment="1" applyProtection="0">
      <alignment vertical="top"/>
    </xf>
    <xf numFmtId="3" fontId="0" borderId="7" applyNumberFormat="1" applyFont="1" applyFill="0" applyBorder="1" applyAlignment="1" applyProtection="0">
      <alignment vertical="top"/>
    </xf>
    <xf numFmtId="0" fontId="2" fillId="4" borderId="5" applyNumberFormat="1" applyFont="1" applyFill="1" applyBorder="1" applyAlignment="1" applyProtection="0">
      <alignment vertical="top"/>
    </xf>
    <xf numFmtId="0" fontId="0" borderId="7" applyNumberFormat="0" applyFont="1" applyFill="0" applyBorder="1" applyAlignment="1" applyProtection="0">
      <alignment vertical="top"/>
    </xf>
    <xf numFmtId="0" fontId="0" borderId="7" applyNumberFormat="1" applyFont="1" applyFill="0" applyBorder="1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efffe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05722"/>
          <c:y val="0.0426778"/>
          <c:w val="0.8591"/>
          <c:h val="0.886395"/>
        </c:manualLayout>
      </c:layout>
      <c:lineChart>
        <c:grouping val="standard"/>
        <c:varyColors val="0"/>
        <c:ser>
          <c:idx val="0"/>
          <c:order val="0"/>
          <c:tx>
            <c:v>Region 1</c:v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April</c:v>
              </c:pt>
              <c:pt idx="1">
                <c:v>May</c:v>
              </c:pt>
              <c:pt idx="2">
                <c:v>June</c:v>
              </c:pt>
              <c:pt idx="3">
                <c:v>July</c:v>
              </c:pt>
            </c:strLit>
          </c:cat>
          <c:val>
            <c:numLit>
              <c:ptCount val="4"/>
              <c:pt idx="0">
                <c:v>17.000000</c:v>
              </c:pt>
              <c:pt idx="1">
                <c:v>26.000000</c:v>
              </c:pt>
              <c:pt idx="2">
                <c:v>53.000000</c:v>
              </c:pt>
              <c:pt idx="3">
                <c:v>96.000000</c:v>
              </c:pt>
            </c:numLit>
          </c:val>
          <c:smooth val="0"/>
        </c:ser>
        <c:ser>
          <c:idx val="1"/>
          <c:order val="1"/>
          <c:tx>
            <c:v>Region 2</c:v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April</c:v>
              </c:pt>
              <c:pt idx="1">
                <c:v>May</c:v>
              </c:pt>
              <c:pt idx="2">
                <c:v>June</c:v>
              </c:pt>
              <c:pt idx="3">
                <c:v>July</c:v>
              </c:pt>
            </c:strLit>
          </c:cat>
          <c:val>
            <c:numLit>
              <c:ptCount val="4"/>
              <c:pt idx="0">
                <c:v>55.000000</c:v>
              </c:pt>
              <c:pt idx="1">
                <c:v>43.000000</c:v>
              </c:pt>
              <c:pt idx="2">
                <c:v>70.000000</c:v>
              </c:pt>
              <c:pt idx="3">
                <c:v>58.000000</c:v>
              </c:pt>
            </c:numLit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25"/>
        <c:minorUnit val="12.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380283"/>
          <c:y val="0.0976567"/>
          <c:w val="0.304128"/>
          <c:h val="0.110356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594505</xdr:colOff>
      <xdr:row>3</xdr:row>
      <xdr:rowOff>131606</xdr:rowOff>
    </xdr:from>
    <xdr:to>
      <xdr:col>12</xdr:col>
      <xdr:colOff>711421</xdr:colOff>
      <xdr:row>43</xdr:row>
      <xdr:rowOff>58784</xdr:rowOff>
    </xdr:to>
    <xdr:pic>
      <xdr:nvPicPr>
        <xdr:cNvPr id="2" name="Image" descr="Image"/>
        <xdr:cNvPicPr>
          <a:picLocks noChangeAspect="0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709305" y="983776"/>
          <a:ext cx="7584517" cy="10115119"/>
        </a:xfrm>
        <a:prstGeom prst="rect">
          <a:avLst/>
        </a:prstGeom>
        <a:effectLst>
          <a:outerShdw sx="100000" sy="100000" kx="0" ky="0" algn="b" rotWithShape="0" blurRad="12700" dist="12700" dir="16200000">
            <a:srgbClr val="000000">
              <a:alpha val="25000"/>
            </a:srgbClr>
          </a:outerShdw>
        </a:effectLst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19</xdr:col>
      <xdr:colOff>506770</xdr:colOff>
      <xdr:row>34</xdr:row>
      <xdr:rowOff>63132</xdr:rowOff>
    </xdr:from>
    <xdr:to>
      <xdr:col>22</xdr:col>
      <xdr:colOff>197181</xdr:colOff>
      <xdr:row>48</xdr:row>
      <xdr:rowOff>12535</xdr:rowOff>
    </xdr:to>
    <xdr:graphicFrame>
      <xdr:nvGraphicFramePr>
        <xdr:cNvPr id="4" name="2D Line Chart"/>
        <xdr:cNvGraphicFramePr/>
      </xdr:nvGraphicFramePr>
      <xdr:xfrm>
        <a:off x="18934470" y="8906777"/>
        <a:ext cx="3424212" cy="348762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15625" style="1" customWidth="1"/>
    <col min="2" max="2" width="15.4375" style="1" customWidth="1"/>
    <col min="3" max="6" width="8.28906" style="1" customWidth="1"/>
    <col min="7" max="16384" width="16.3516" style="1" customWidth="1"/>
  </cols>
  <sheetData>
    <row r="1" ht="19.2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t="s" s="5">
        <v>2</v>
      </c>
      <c r="E3" s="6"/>
      <c r="F3" s="4"/>
    </row>
    <row r="4" ht="20.25" customHeight="1">
      <c r="B4" t="s" s="7">
        <v>3</v>
      </c>
      <c r="C4" s="8">
        <f>AVERAGE('Sales'!G18:G21)</f>
        <v>0.430696194677768</v>
      </c>
      <c r="D4" s="9"/>
      <c r="E4" s="9"/>
      <c r="F4" s="10">
        <f>AVERAGE(C5:F5)</f>
        <v>0.05</v>
      </c>
    </row>
    <row r="5" ht="20.05" customHeight="1">
      <c r="B5" t="s" s="11">
        <v>4</v>
      </c>
      <c r="C5" s="12">
        <v>0.05</v>
      </c>
      <c r="D5" s="13">
        <v>0.1</v>
      </c>
      <c r="E5" s="13">
        <v>-0.02</v>
      </c>
      <c r="F5" s="13">
        <v>0.07000000000000001</v>
      </c>
    </row>
    <row r="6" ht="20.05" customHeight="1">
      <c r="B6" t="s" s="11">
        <v>5</v>
      </c>
      <c r="C6" s="14">
        <f>'Sales'!C21*(1+C5)</f>
        <v>262.605</v>
      </c>
      <c r="D6" s="15">
        <f>C6*(1+D5)</f>
        <v>288.8655</v>
      </c>
      <c r="E6" s="15">
        <f>D6*(1+E5)</f>
        <v>283.08819</v>
      </c>
      <c r="F6" s="15">
        <f>E6*(1+F5)</f>
        <v>302.9043633</v>
      </c>
    </row>
    <row r="7" ht="20.05" customHeight="1">
      <c r="B7" t="s" s="11">
        <v>6</v>
      </c>
      <c r="C7" s="16">
        <f>AVERAGE('Sales'!H21)</f>
        <v>-0.899240303878449</v>
      </c>
      <c r="D7" s="17">
        <f>C7</f>
        <v>-0.899240303878449</v>
      </c>
      <c r="E7" s="17">
        <f>D7</f>
        <v>-0.899240303878449</v>
      </c>
      <c r="F7" s="17">
        <f>E7</f>
        <v>-0.899240303878449</v>
      </c>
    </row>
    <row r="8" ht="20.05" customHeight="1">
      <c r="B8" t="s" s="11">
        <v>7</v>
      </c>
      <c r="C8" s="18">
        <f>C6*C7</f>
        <v>-236.145</v>
      </c>
      <c r="D8" s="19">
        <f>D6*D7</f>
        <v>-259.7595</v>
      </c>
      <c r="E8" s="19">
        <f>E6*E7</f>
        <v>-254.56431</v>
      </c>
      <c r="F8" s="19">
        <f>F6*F7</f>
        <v>-272.3838117</v>
      </c>
    </row>
    <row r="9" ht="20.05" customHeight="1">
      <c r="B9" t="s" s="11">
        <v>8</v>
      </c>
      <c r="C9" s="18">
        <f>C6+C8</f>
        <v>26.46</v>
      </c>
      <c r="D9" s="19">
        <f>D6+D8</f>
        <v>29.106</v>
      </c>
      <c r="E9" s="19">
        <f>E6+E8</f>
        <v>28.52388</v>
      </c>
      <c r="F9" s="19">
        <f>F6+F8</f>
        <v>30.5205516</v>
      </c>
    </row>
    <row r="10" ht="20.05" customHeight="1">
      <c r="B10" t="s" s="11">
        <v>9</v>
      </c>
      <c r="C10" s="18">
        <f>AVERAGE('Cashflow '!F21)</f>
        <v>-19.3</v>
      </c>
      <c r="D10" s="19">
        <f>C10</f>
        <v>-19.3</v>
      </c>
      <c r="E10" s="19">
        <f>D10</f>
        <v>-19.3</v>
      </c>
      <c r="F10" s="19">
        <f>E10</f>
        <v>-19.3</v>
      </c>
    </row>
    <row r="11" ht="20.05" customHeight="1">
      <c r="B11" t="s" s="11">
        <v>10</v>
      </c>
      <c r="C11" s="18">
        <f>C12+C13+C14</f>
        <v>-7.16</v>
      </c>
      <c r="D11" s="19">
        <f>D12+D13+D14</f>
        <v>-9.805999999999999</v>
      </c>
      <c r="E11" s="19">
        <f>E12+E13+E14</f>
        <v>-9.223879999999999</v>
      </c>
      <c r="F11" s="19">
        <f>F12+F13+F14</f>
        <v>-11.2205516</v>
      </c>
    </row>
    <row r="12" ht="20.05" customHeight="1">
      <c r="B12" t="s" s="11">
        <v>11</v>
      </c>
      <c r="C12" s="18">
        <f>-('Balance sheet'!F16)/20</f>
        <v>-166.65</v>
      </c>
      <c r="D12" s="19">
        <f>-C26/20</f>
        <v>-158.3175</v>
      </c>
      <c r="E12" s="19">
        <f>-D26/20</f>
        <v>-150.401625</v>
      </c>
      <c r="F12" s="19">
        <f>-E26/20</f>
        <v>-142.88154375</v>
      </c>
    </row>
    <row r="13" ht="20.05" customHeight="1">
      <c r="B13" t="s" s="11">
        <v>12</v>
      </c>
      <c r="C13" s="18">
        <f>IF(C21&gt;0,-C21*0.1,0)</f>
        <v>0</v>
      </c>
      <c r="D13" s="19">
        <f>IF(D21&gt;0,-D21*0.1,0)</f>
        <v>0</v>
      </c>
      <c r="E13" s="19">
        <f>IF(E21&gt;0,-E21*0.1,0)</f>
        <v>0</v>
      </c>
      <c r="F13" s="19">
        <f>IF(F21&gt;0,-F21*0.1,0)</f>
        <v>-0.04205516</v>
      </c>
    </row>
    <row r="14" ht="20.05" customHeight="1">
      <c r="B14" t="s" s="11">
        <v>13</v>
      </c>
      <c r="C14" s="18">
        <f>-MIN(0,C15)</f>
        <v>159.49</v>
      </c>
      <c r="D14" s="19">
        <f>-MIN(C27,D15)</f>
        <v>148.5115</v>
      </c>
      <c r="E14" s="19">
        <f>-MIN(D27,E15)</f>
        <v>141.177745</v>
      </c>
      <c r="F14" s="19">
        <f>-MIN(E27,F15)</f>
        <v>131.70304731</v>
      </c>
    </row>
    <row r="15" ht="20.05" customHeight="1">
      <c r="B15" t="s" s="11">
        <v>14</v>
      </c>
      <c r="C15" s="18">
        <f>C9+C10+C12+C13</f>
        <v>-159.49</v>
      </c>
      <c r="D15" s="19">
        <f>D9+D10+D12+D13</f>
        <v>-148.5115</v>
      </c>
      <c r="E15" s="19">
        <f>E9+E10+E12+E13</f>
        <v>-141.177745</v>
      </c>
      <c r="F15" s="19">
        <f>F9+F10+F12+F13</f>
        <v>-131.70304731</v>
      </c>
    </row>
    <row r="16" ht="20.05" customHeight="1">
      <c r="B16" t="s" s="11">
        <v>15</v>
      </c>
      <c r="C16" s="18">
        <f>'Balance sheet'!B16</f>
        <v>20</v>
      </c>
      <c r="D16" s="19">
        <f>C18</f>
        <v>20</v>
      </c>
      <c r="E16" s="19">
        <f>D18</f>
        <v>20</v>
      </c>
      <c r="F16" s="19">
        <f>E18</f>
        <v>20</v>
      </c>
    </row>
    <row r="17" ht="20.05" customHeight="1">
      <c r="B17" t="s" s="11">
        <v>16</v>
      </c>
      <c r="C17" s="18">
        <f>C9+C10+C11</f>
        <v>0</v>
      </c>
      <c r="D17" s="19">
        <f>D9+D10+D11</f>
        <v>0</v>
      </c>
      <c r="E17" s="19">
        <f>E9+E10+E11</f>
        <v>0</v>
      </c>
      <c r="F17" s="19">
        <f>F9+F10+F11</f>
        <v>0</v>
      </c>
    </row>
    <row r="18" ht="20.05" customHeight="1">
      <c r="B18" t="s" s="11">
        <v>17</v>
      </c>
      <c r="C18" s="18">
        <f>C16+C17</f>
        <v>20</v>
      </c>
      <c r="D18" s="19">
        <f>D16+D17</f>
        <v>20</v>
      </c>
      <c r="E18" s="19">
        <f>E16+E17</f>
        <v>20</v>
      </c>
      <c r="F18" s="19">
        <f>F16+F17</f>
        <v>20</v>
      </c>
    </row>
    <row r="19" ht="20.05" customHeight="1">
      <c r="B19" t="s" s="20">
        <v>18</v>
      </c>
      <c r="C19" s="18"/>
      <c r="D19" s="19"/>
      <c r="E19" s="19"/>
      <c r="F19" s="21"/>
    </row>
    <row r="20" ht="20.05" customHeight="1">
      <c r="B20" t="s" s="11">
        <v>19</v>
      </c>
      <c r="C20" s="18">
        <f>-AVERAGE('Sales'!E21)</f>
        <v>-30.1</v>
      </c>
      <c r="D20" s="19">
        <f>C20</f>
        <v>-30.1</v>
      </c>
      <c r="E20" s="19">
        <f>D20</f>
        <v>-30.1</v>
      </c>
      <c r="F20" s="19">
        <f>E20</f>
        <v>-30.1</v>
      </c>
    </row>
    <row r="21" ht="20.05" customHeight="1">
      <c r="B21" t="s" s="11">
        <v>20</v>
      </c>
      <c r="C21" s="18">
        <f>C6+C8+C20</f>
        <v>-3.64</v>
      </c>
      <c r="D21" s="19">
        <f>D6+D8+D20</f>
        <v>-0.994</v>
      </c>
      <c r="E21" s="19">
        <f>E6+E8+E20</f>
        <v>-1.57612</v>
      </c>
      <c r="F21" s="19">
        <f>F6+F8+F20</f>
        <v>0.4205516</v>
      </c>
    </row>
    <row r="22" ht="20.05" customHeight="1">
      <c r="B22" t="s" s="20">
        <v>21</v>
      </c>
      <c r="C22" s="18"/>
      <c r="D22" s="19"/>
      <c r="E22" s="19"/>
      <c r="F22" s="21"/>
    </row>
    <row r="23" ht="20.05" customHeight="1">
      <c r="B23" t="s" s="11">
        <v>22</v>
      </c>
      <c r="C23" s="18">
        <f>'Balance sheet'!D16+'Balance sheet'!E16-C10</f>
        <v>4605.3</v>
      </c>
      <c r="D23" s="19">
        <f>C23-D10</f>
        <v>4624.6</v>
      </c>
      <c r="E23" s="19">
        <f>D23-E10</f>
        <v>4643.9</v>
      </c>
      <c r="F23" s="19">
        <f>E23-F10</f>
        <v>4663.2</v>
      </c>
    </row>
    <row r="24" ht="20.05" customHeight="1">
      <c r="B24" t="s" s="11">
        <v>23</v>
      </c>
      <c r="C24" s="18">
        <f>'Balance sheet'!E16-C20</f>
        <v>1038.1</v>
      </c>
      <c r="D24" s="19">
        <f>C24-D20</f>
        <v>1068.2</v>
      </c>
      <c r="E24" s="19">
        <f>D24-E20</f>
        <v>1098.3</v>
      </c>
      <c r="F24" s="19">
        <f>E24-F20</f>
        <v>1128.4</v>
      </c>
    </row>
    <row r="25" ht="20.05" customHeight="1">
      <c r="B25" t="s" s="11">
        <v>24</v>
      </c>
      <c r="C25" s="18">
        <f>C23-C24</f>
        <v>3567.2</v>
      </c>
      <c r="D25" s="19">
        <f>D23-D24</f>
        <v>3556.4</v>
      </c>
      <c r="E25" s="19">
        <f>E23-E24</f>
        <v>3545.6</v>
      </c>
      <c r="F25" s="19">
        <f>F23-F24</f>
        <v>3534.8</v>
      </c>
    </row>
    <row r="26" ht="20.05" customHeight="1">
      <c r="B26" t="s" s="11">
        <v>11</v>
      </c>
      <c r="C26" s="18">
        <f>'Balance sheet'!F16+C12</f>
        <v>3166.35</v>
      </c>
      <c r="D26" s="19">
        <f>C26+D12</f>
        <v>3008.0325</v>
      </c>
      <c r="E26" s="19">
        <f>D26+E12</f>
        <v>2857.630875</v>
      </c>
      <c r="F26" s="19">
        <f>E26+F12</f>
        <v>2714.74933125</v>
      </c>
    </row>
    <row r="27" ht="20.05" customHeight="1">
      <c r="B27" t="s" s="11">
        <v>13</v>
      </c>
      <c r="C27" s="18">
        <f>C14</f>
        <v>159.49</v>
      </c>
      <c r="D27" s="19">
        <f>C27+D14</f>
        <v>308.0015</v>
      </c>
      <c r="E27" s="19">
        <f>D27+E14</f>
        <v>449.179245</v>
      </c>
      <c r="F27" s="19">
        <f>E27+F14</f>
        <v>580.88229231</v>
      </c>
    </row>
    <row r="28" ht="20.05" customHeight="1">
      <c r="B28" t="s" s="11">
        <v>25</v>
      </c>
      <c r="C28" s="18">
        <f>'Balance sheet'!G16+C21+C13</f>
        <v>261.36</v>
      </c>
      <c r="D28" s="19">
        <f>C28+D21+D13</f>
        <v>260.366</v>
      </c>
      <c r="E28" s="19">
        <f>D28+E21+E13</f>
        <v>258.78988</v>
      </c>
      <c r="F28" s="19">
        <f>E28+F21+F13</f>
        <v>259.16837644</v>
      </c>
    </row>
    <row r="29" ht="20.05" customHeight="1">
      <c r="B29" t="s" s="11">
        <v>26</v>
      </c>
      <c r="C29" s="18">
        <f>C26+C27+C28-C18-C25</f>
        <v>0</v>
      </c>
      <c r="D29" s="19">
        <f>D26+D27+D28-D18-D25</f>
        <v>0</v>
      </c>
      <c r="E29" s="19">
        <f>E26+E27+E28-E18-E25</f>
        <v>0</v>
      </c>
      <c r="F29" s="19">
        <f>F26+F27+F28-F18-F25</f>
        <v>0</v>
      </c>
    </row>
    <row r="30" ht="20.05" customHeight="1">
      <c r="B30" t="s" s="11">
        <v>27</v>
      </c>
      <c r="C30" s="18">
        <f>C18-C26-C27</f>
        <v>-3305.84</v>
      </c>
      <c r="D30" s="19">
        <f>D18-D26-D27</f>
        <v>-3296.034</v>
      </c>
      <c r="E30" s="19">
        <f>E18-E26-E27</f>
        <v>-3286.81012</v>
      </c>
      <c r="F30" s="19">
        <f>F18-F26-F27</f>
        <v>-3275.63162356</v>
      </c>
    </row>
    <row r="31" ht="20.05" customHeight="1">
      <c r="B31" t="s" s="20">
        <v>28</v>
      </c>
      <c r="C31" s="18"/>
      <c r="D31" s="19"/>
      <c r="E31" s="19"/>
      <c r="F31" s="19"/>
    </row>
    <row r="32" ht="20.05" customHeight="1">
      <c r="B32" t="s" s="11">
        <v>29</v>
      </c>
      <c r="C32" s="18">
        <f>'Cashflow '!J21-C11</f>
        <v>-1345.14</v>
      </c>
      <c r="D32" s="19">
        <f>C32-D11</f>
        <v>-1335.334</v>
      </c>
      <c r="E32" s="19">
        <f>D32-E11</f>
        <v>-1326.11012</v>
      </c>
      <c r="F32" s="19">
        <f>E32-F11</f>
        <v>-1314.8895684</v>
      </c>
    </row>
    <row r="33" ht="20.05" customHeight="1">
      <c r="B33" t="s" s="11">
        <v>30</v>
      </c>
      <c r="C33" s="18"/>
      <c r="D33" s="19"/>
      <c r="E33" s="19"/>
      <c r="F33" s="19">
        <v>588.9</v>
      </c>
    </row>
    <row r="34" ht="20.05" customHeight="1">
      <c r="B34" t="s" s="11">
        <v>31</v>
      </c>
      <c r="C34" s="18"/>
      <c r="D34" s="19"/>
      <c r="E34" s="19"/>
      <c r="F34" s="22">
        <f>F33/(F18+F25)</f>
        <v>0.165663328457297</v>
      </c>
    </row>
    <row r="35" ht="20.05" customHeight="1">
      <c r="B35" t="s" s="11">
        <v>32</v>
      </c>
      <c r="C35" s="18"/>
      <c r="D35" s="19"/>
      <c r="E35" s="19"/>
      <c r="F35" s="17">
        <f>-(C13+D13+E13+F13)/F33</f>
        <v>7.14130752249958e-05</v>
      </c>
    </row>
    <row r="36" ht="20.05" customHeight="1">
      <c r="B36" t="s" s="11">
        <v>3</v>
      </c>
      <c r="C36" s="18"/>
      <c r="D36" s="19"/>
      <c r="E36" s="19"/>
      <c r="F36" s="19">
        <f>SUM(F9:F10)*4</f>
        <v>44.8822064</v>
      </c>
    </row>
    <row r="37" ht="20.05" customHeight="1">
      <c r="B37" t="s" s="11">
        <v>33</v>
      </c>
      <c r="C37" s="18"/>
      <c r="D37" s="19"/>
      <c r="E37" s="19"/>
      <c r="F37" s="19">
        <f>'Balance sheet'!D16/F36</f>
        <v>79.7197884638755</v>
      </c>
    </row>
    <row r="38" ht="20.05" customHeight="1">
      <c r="B38" t="s" s="11">
        <v>28</v>
      </c>
      <c r="C38" s="18"/>
      <c r="D38" s="19"/>
      <c r="E38" s="19"/>
      <c r="F38" s="19">
        <f>F33/F36</f>
        <v>13.1210126960247</v>
      </c>
    </row>
    <row r="39" ht="20.05" customHeight="1">
      <c r="B39" t="s" s="23">
        <v>34</v>
      </c>
      <c r="C39" s="18"/>
      <c r="D39" s="19"/>
      <c r="E39" s="19"/>
      <c r="F39" s="19">
        <v>15</v>
      </c>
    </row>
    <row r="40" ht="20.05" customHeight="1">
      <c r="B40" t="s" s="11">
        <v>35</v>
      </c>
      <c r="C40" s="18"/>
      <c r="D40" s="19"/>
      <c r="E40" s="19"/>
      <c r="F40" s="19">
        <f>F36*F39</f>
        <v>673.233096</v>
      </c>
    </row>
    <row r="41" ht="20.05" customHeight="1">
      <c r="B41" t="s" s="11">
        <v>36</v>
      </c>
      <c r="C41" s="18"/>
      <c r="D41" s="19"/>
      <c r="E41" s="19"/>
      <c r="F41" s="19">
        <f>F33/F43</f>
        <v>3.775</v>
      </c>
    </row>
    <row r="42" ht="20.05" customHeight="1">
      <c r="B42" t="s" s="11">
        <v>37</v>
      </c>
      <c r="C42" s="18"/>
      <c r="D42" s="19"/>
      <c r="E42" s="19"/>
      <c r="F42" s="19">
        <f>F40/F41</f>
        <v>178.339892980132</v>
      </c>
    </row>
    <row r="43" ht="20.05" customHeight="1">
      <c r="B43" t="s" s="11">
        <v>38</v>
      </c>
      <c r="C43" s="18"/>
      <c r="D43" s="19"/>
      <c r="E43" s="19"/>
      <c r="F43" s="19">
        <f>'Share price '!C60</f>
        <v>156</v>
      </c>
    </row>
    <row r="44" ht="20.05" customHeight="1">
      <c r="B44" t="s" s="11">
        <v>39</v>
      </c>
      <c r="C44" s="18"/>
      <c r="D44" s="19"/>
      <c r="E44" s="19"/>
      <c r="F44" s="17">
        <f>F42/F43-1</f>
        <v>0.143204442180333</v>
      </c>
    </row>
    <row r="45" ht="20.05" customHeight="1">
      <c r="B45" t="s" s="11">
        <v>40</v>
      </c>
      <c r="C45" s="18"/>
      <c r="D45" s="19"/>
      <c r="E45" s="19"/>
      <c r="F45" s="17">
        <f>'Sales'!C21/'Sales'!C17-1</f>
        <v>2.94479495268139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I2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6875" style="24" customWidth="1"/>
    <col min="2" max="2" width="10.0781" style="24" customWidth="1"/>
    <col min="3" max="9" width="9.28906" style="24" customWidth="1"/>
    <col min="10" max="16384" width="16.3516" style="24" customWidth="1"/>
  </cols>
  <sheetData>
    <row r="1" ht="29.5" customHeight="1"/>
    <row r="2" ht="27.65" customHeight="1">
      <c r="B2" t="s" s="2">
        <v>41</v>
      </c>
      <c r="C2" s="2"/>
      <c r="D2" s="2"/>
      <c r="E2" s="2"/>
      <c r="F2" s="2"/>
      <c r="G2" s="2"/>
      <c r="H2" s="2"/>
      <c r="I2" s="2"/>
    </row>
    <row r="3" ht="32.25" customHeight="1">
      <c r="B3" t="s" s="3">
        <v>42</v>
      </c>
      <c r="C3" t="s" s="5">
        <v>41</v>
      </c>
      <c r="D3" t="s" s="5">
        <v>34</v>
      </c>
      <c r="E3" t="s" s="5">
        <v>19</v>
      </c>
      <c r="F3" t="s" s="5">
        <v>43</v>
      </c>
      <c r="G3" t="s" s="5">
        <v>44</v>
      </c>
      <c r="H3" t="s" s="5">
        <v>45</v>
      </c>
      <c r="I3" t="s" s="5">
        <v>46</v>
      </c>
    </row>
    <row r="4" ht="20.25" customHeight="1">
      <c r="B4" s="25">
        <v>2017</v>
      </c>
      <c r="C4" s="26">
        <v>163.5</v>
      </c>
      <c r="D4" s="27"/>
      <c r="E4" s="27">
        <v>25.8</v>
      </c>
      <c r="F4" s="27">
        <v>-25.8</v>
      </c>
      <c r="G4" s="9"/>
      <c r="H4" s="28">
        <f>(E4+F4-C4)/C4</f>
        <v>-1</v>
      </c>
      <c r="I4" s="28">
        <f>('Cashflow '!D4-'Cashflow '!C4)/'Cashflow '!C4</f>
        <v>-0.943065693430657</v>
      </c>
    </row>
    <row r="5" ht="20.05" customHeight="1">
      <c r="B5" s="29"/>
      <c r="C5" s="18">
        <v>122.4</v>
      </c>
      <c r="D5" s="19"/>
      <c r="E5" s="19">
        <v>22.5</v>
      </c>
      <c r="F5" s="19">
        <v>-47.5</v>
      </c>
      <c r="G5" s="17">
        <f>C5/C4-1</f>
        <v>-0.251376146788991</v>
      </c>
      <c r="H5" s="17">
        <f>(E5+F5-C5)/C5</f>
        <v>-1.20424836601307</v>
      </c>
      <c r="I5" s="17">
        <f>('Cashflow '!D5-'Cashflow '!C5)/'Cashflow '!C5</f>
        <v>-0.623330990864371</v>
      </c>
    </row>
    <row r="6" ht="20.05" customHeight="1">
      <c r="B6" s="29"/>
      <c r="C6" s="18">
        <v>132.3</v>
      </c>
      <c r="D6" s="19"/>
      <c r="E6" s="19">
        <v>23.4</v>
      </c>
      <c r="F6" s="19">
        <v>-31.3</v>
      </c>
      <c r="G6" s="17">
        <f>C6/C5-1</f>
        <v>0.0808823529411765</v>
      </c>
      <c r="H6" s="17">
        <f>(E6+F6-C6)/C6</f>
        <v>-1.05971277399849</v>
      </c>
      <c r="I6" s="17">
        <f>('Cashflow '!D6-'Cashflow '!C6)/'Cashflow '!C6</f>
        <v>-1.25287356321839</v>
      </c>
    </row>
    <row r="7" ht="20.05" customHeight="1">
      <c r="B7" s="29"/>
      <c r="C7" s="18">
        <v>136.9</v>
      </c>
      <c r="D7" s="19"/>
      <c r="E7" s="19">
        <v>33.1</v>
      </c>
      <c r="F7" s="19">
        <v>-103.9</v>
      </c>
      <c r="G7" s="17">
        <f>C7/C6-1</f>
        <v>0.0347694633408919</v>
      </c>
      <c r="H7" s="17">
        <f>(E7+F7-C7)/C7</f>
        <v>-1.51716581446311</v>
      </c>
      <c r="I7" s="17">
        <f>('Cashflow '!D7-'Cashflow '!C7)/'Cashflow '!C7</f>
        <v>-2.28</v>
      </c>
    </row>
    <row r="8" ht="20.05" customHeight="1">
      <c r="B8" s="30">
        <v>2018</v>
      </c>
      <c r="C8" s="18">
        <v>154.8</v>
      </c>
      <c r="D8" s="19"/>
      <c r="E8" s="19">
        <v>24.3</v>
      </c>
      <c r="F8" s="19">
        <v>-52.9</v>
      </c>
      <c r="G8" s="17">
        <f>C8/C7-1</f>
        <v>0.130752373995617</v>
      </c>
      <c r="H8" s="17">
        <f>(E8+F8-C8)/C8</f>
        <v>-1.18475452196382</v>
      </c>
      <c r="I8" s="17">
        <f>('Cashflow '!D8-'Cashflow '!C8)/'Cashflow '!C8</f>
        <v>-1.66515837104072</v>
      </c>
    </row>
    <row r="9" ht="20.05" customHeight="1">
      <c r="B9" s="29"/>
      <c r="C9" s="18">
        <v>199.3</v>
      </c>
      <c r="D9" s="19"/>
      <c r="E9" s="19">
        <v>24.3</v>
      </c>
      <c r="F9" s="19">
        <v>-36.1</v>
      </c>
      <c r="G9" s="17">
        <f>C9/C8-1</f>
        <v>0.287467700258398</v>
      </c>
      <c r="H9" s="17">
        <f>(E9+F9-C9)/C9</f>
        <v>-1.05920722528851</v>
      </c>
      <c r="I9" s="17">
        <f>('Cashflow '!D9-'Cashflow '!C9)/'Cashflow '!C9</f>
        <v>-0.971656333038087</v>
      </c>
    </row>
    <row r="10" ht="20.05" customHeight="1">
      <c r="B10" s="29"/>
      <c r="C10" s="18">
        <v>229</v>
      </c>
      <c r="D10" s="19"/>
      <c r="E10" s="19">
        <v>0</v>
      </c>
      <c r="F10" s="19">
        <v>-66.09999999999999</v>
      </c>
      <c r="G10" s="17">
        <f>C10/C9-1</f>
        <v>0.1490215755143</v>
      </c>
      <c r="H10" s="17">
        <f>(E10+F10-C10)/C10</f>
        <v>-1.28864628820961</v>
      </c>
      <c r="I10" s="17">
        <f>('Cashflow '!D10-'Cashflow '!C10)/'Cashflow '!C10</f>
        <v>-1.63721618953603</v>
      </c>
    </row>
    <row r="11" ht="20.05" customHeight="1">
      <c r="B11" s="29"/>
      <c r="C11" s="18">
        <v>162.4</v>
      </c>
      <c r="D11" s="19"/>
      <c r="E11" s="19">
        <v>57.9</v>
      </c>
      <c r="F11" s="19">
        <v>-145</v>
      </c>
      <c r="G11" s="17">
        <f>C11/C10-1</f>
        <v>-0.290829694323144</v>
      </c>
      <c r="H11" s="17">
        <f>(E11+F11-C11)/C11</f>
        <v>-1.53633004926108</v>
      </c>
      <c r="I11" s="17">
        <f>('Cashflow '!D11-'Cashflow '!C11)/'Cashflow '!C11</f>
        <v>-1.5312697409981</v>
      </c>
    </row>
    <row r="12" ht="20.05" customHeight="1">
      <c r="B12" s="30">
        <v>2019</v>
      </c>
      <c r="C12" s="18">
        <v>157.4</v>
      </c>
      <c r="D12" s="19"/>
      <c r="E12" s="19">
        <v>27.5</v>
      </c>
      <c r="F12" s="19">
        <v>-78.3</v>
      </c>
      <c r="G12" s="17">
        <f>C12/C11-1</f>
        <v>-0.0307881773399015</v>
      </c>
      <c r="H12" s="17">
        <f>(E12+F12-C12)/C12</f>
        <v>-1.32274459974587</v>
      </c>
      <c r="I12" s="17">
        <f>('Cashflow '!D12-'Cashflow '!C12)/'Cashflow '!C12</f>
        <v>-1.30709134615385</v>
      </c>
    </row>
    <row r="13" ht="20.05" customHeight="1">
      <c r="B13" s="29"/>
      <c r="C13" s="18">
        <v>196.1</v>
      </c>
      <c r="D13" s="19"/>
      <c r="E13" s="19">
        <v>27.7</v>
      </c>
      <c r="F13" s="19">
        <v>-67.09999999999999</v>
      </c>
      <c r="G13" s="17">
        <f>C13/C12-1</f>
        <v>0.245870393900889</v>
      </c>
      <c r="H13" s="17">
        <f>(E13+F13-C13)/C13</f>
        <v>-1.20091789903111</v>
      </c>
      <c r="I13" s="17">
        <f>('Cashflow '!D13-'Cashflow '!C13)/'Cashflow '!C13</f>
        <v>-1.2090284592738</v>
      </c>
    </row>
    <row r="14" ht="20.05" customHeight="1">
      <c r="B14" s="29"/>
      <c r="C14" s="18">
        <v>202.4</v>
      </c>
      <c r="D14" s="19"/>
      <c r="E14" s="19">
        <v>27.9</v>
      </c>
      <c r="F14" s="19">
        <v>-70.2</v>
      </c>
      <c r="G14" s="17">
        <f>C14/C13-1</f>
        <v>0.0321264660887302</v>
      </c>
      <c r="H14" s="17">
        <f>(E14+F14-C14)/C14</f>
        <v>-1.20899209486166</v>
      </c>
      <c r="I14" s="17">
        <f>('Cashflow '!D14-'Cashflow '!C14)/'Cashflow '!C14</f>
        <v>-1.16691212567501</v>
      </c>
    </row>
    <row r="15" ht="20.05" customHeight="1">
      <c r="B15" s="29"/>
      <c r="C15" s="18">
        <v>167.4</v>
      </c>
      <c r="D15" s="19"/>
      <c r="E15" s="19">
        <v>28.3</v>
      </c>
      <c r="F15" s="19">
        <v>-67.09999999999999</v>
      </c>
      <c r="G15" s="17">
        <f>C15/C14-1</f>
        <v>-0.172924901185771</v>
      </c>
      <c r="H15" s="17">
        <f>(E15+F15-C15)/C15</f>
        <v>-1.23178016726404</v>
      </c>
      <c r="I15" s="17">
        <f>('Cashflow '!D15-'Cashflow '!C15)/'Cashflow '!C15</f>
        <v>-0.951470588235294</v>
      </c>
    </row>
    <row r="16" ht="20.05" customHeight="1">
      <c r="B16" s="30">
        <v>2020</v>
      </c>
      <c r="C16" s="18">
        <v>193.5</v>
      </c>
      <c r="D16" s="19"/>
      <c r="E16" s="19">
        <v>28.2</v>
      </c>
      <c r="F16" s="19">
        <v>-48.3</v>
      </c>
      <c r="G16" s="17">
        <f>C16/C15-1</f>
        <v>0.155913978494624</v>
      </c>
      <c r="H16" s="17">
        <f>(E16+F16-C16)/C16</f>
        <v>-1.10387596899225</v>
      </c>
      <c r="I16" s="17">
        <f>('Cashflow '!D16-'Cashflow '!C16)/'Cashflow '!C16</f>
        <v>-1.17978208232446</v>
      </c>
    </row>
    <row r="17" ht="20.05" customHeight="1">
      <c r="B17" s="29"/>
      <c r="C17" s="18">
        <v>63.4</v>
      </c>
      <c r="D17" s="19"/>
      <c r="E17" s="19">
        <v>27.1</v>
      </c>
      <c r="F17" s="19">
        <v>-95</v>
      </c>
      <c r="G17" s="17">
        <f>C17/C16-1</f>
        <v>-0.67235142118863</v>
      </c>
      <c r="H17" s="17">
        <f>(E17+F17-C17)/C17</f>
        <v>-2.07097791798107</v>
      </c>
      <c r="I17" s="17">
        <f>('Cashflow '!D17-'Cashflow '!C17)/'Cashflow '!C17</f>
        <v>-1.90502793296089</v>
      </c>
    </row>
    <row r="18" ht="20.05" customHeight="1">
      <c r="B18" s="29"/>
      <c r="C18" s="18">
        <v>85.59999999999999</v>
      </c>
      <c r="D18" s="19"/>
      <c r="E18" s="19">
        <v>28.3</v>
      </c>
      <c r="F18" s="19">
        <v>-82.59999999999999</v>
      </c>
      <c r="G18" s="17">
        <f>C18/C17-1</f>
        <v>0.350157728706625</v>
      </c>
      <c r="H18" s="17">
        <f>(E18+F18-C18)/C18</f>
        <v>-1.63434579439252</v>
      </c>
      <c r="I18" s="17">
        <f>('Cashflow '!D18-'Cashflow '!C18)/'Cashflow '!C18</f>
        <v>-1.87546699875467</v>
      </c>
    </row>
    <row r="19" ht="20.05" customHeight="1">
      <c r="B19" s="29"/>
      <c r="C19" s="18">
        <v>118.8</v>
      </c>
      <c r="D19" s="19"/>
      <c r="E19" s="19">
        <v>28.2</v>
      </c>
      <c r="F19" s="19">
        <v>-81.7</v>
      </c>
      <c r="G19" s="17">
        <f>C19/C18-1</f>
        <v>0.38785046728972</v>
      </c>
      <c r="H19" s="17">
        <f>(E19+F19-C19)/C19</f>
        <v>-1.4503367003367</v>
      </c>
      <c r="I19" s="17">
        <f>('Cashflow '!D19-'Cashflow '!C19)/'Cashflow '!C19</f>
        <v>-1.79558541266795</v>
      </c>
    </row>
    <row r="20" ht="20.05" customHeight="1">
      <c r="B20" s="30">
        <v>2021</v>
      </c>
      <c r="C20" s="18">
        <v>135.8</v>
      </c>
      <c r="D20" s="19"/>
      <c r="E20" s="19">
        <v>29.2</v>
      </c>
      <c r="F20" s="19">
        <v>-44.7</v>
      </c>
      <c r="G20" s="17">
        <f>C20/C19-1</f>
        <v>0.143097643097643</v>
      </c>
      <c r="H20" s="17">
        <f>(E20+F20-C20)/C20</f>
        <v>-1.11413843888071</v>
      </c>
      <c r="I20" s="17">
        <f>('Cashflow '!D20-'Cashflow '!C20)/'Cashflow '!C20</f>
        <v>-1.38608458390177</v>
      </c>
    </row>
    <row r="21" ht="20.05" customHeight="1">
      <c r="B21" s="29"/>
      <c r="C21" s="18">
        <v>250.1</v>
      </c>
      <c r="D21" s="19"/>
      <c r="E21" s="19">
        <v>30.1</v>
      </c>
      <c r="F21" s="19">
        <v>-4.9</v>
      </c>
      <c r="G21" s="17">
        <f>C21/C20-1</f>
        <v>0.841678939617084</v>
      </c>
      <c r="H21" s="17">
        <f>(E21+F21-C21)/C21</f>
        <v>-0.899240303878449</v>
      </c>
      <c r="I21" s="17">
        <f>('Cashflow '!D21-'Cashflow '!C21)/'Cashflow '!C21</f>
        <v>-1.0179274158286</v>
      </c>
    </row>
    <row r="22" ht="20.05" customHeight="1">
      <c r="B22" s="29"/>
      <c r="C22" s="18"/>
      <c r="D22" s="19">
        <f>'Model'!C6</f>
        <v>262.605</v>
      </c>
      <c r="E22" s="19"/>
      <c r="F22" s="19"/>
      <c r="G22" s="17"/>
      <c r="H22" s="13">
        <f>'Model'!C7</f>
        <v>-0.899240303878449</v>
      </c>
      <c r="I22" s="21"/>
    </row>
    <row r="23" ht="20.05" customHeight="1">
      <c r="B23" s="29"/>
      <c r="C23" s="18"/>
      <c r="D23" s="19">
        <f>'Model'!D6</f>
        <v>288.8655</v>
      </c>
      <c r="E23" s="19"/>
      <c r="F23" s="19"/>
      <c r="G23" s="17"/>
      <c r="H23" s="13"/>
      <c r="I23" s="17"/>
    </row>
    <row r="24" ht="20.05" customHeight="1">
      <c r="B24" s="30">
        <v>2022</v>
      </c>
      <c r="C24" s="18"/>
      <c r="D24" s="19">
        <f>'Model'!E6</f>
        <v>283.08819</v>
      </c>
      <c r="E24" s="19"/>
      <c r="F24" s="19"/>
      <c r="G24" s="17"/>
      <c r="H24" s="13"/>
      <c r="I24" s="17"/>
    </row>
    <row r="25" ht="20.05" customHeight="1">
      <c r="B25" s="29"/>
      <c r="C25" s="18"/>
      <c r="D25" s="19">
        <f>'Model'!F6</f>
        <v>302.9043633</v>
      </c>
      <c r="E25" s="19"/>
      <c r="F25" s="19"/>
      <c r="G25" s="17"/>
      <c r="H25" s="13"/>
      <c r="I25" s="17"/>
    </row>
  </sheetData>
  <mergeCells count="1">
    <mergeCell ref="B2:I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2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50781" style="31" customWidth="1"/>
    <col min="2" max="2" width="7.71875" style="31" customWidth="1"/>
    <col min="3" max="10" width="10.3516" style="31" customWidth="1"/>
    <col min="11" max="16384" width="16.3516" style="31" customWidth="1"/>
  </cols>
  <sheetData>
    <row r="1" ht="16.5" customHeight="1"/>
    <row r="2" ht="27.65" customHeight="1">
      <c r="B2" t="s" s="2">
        <v>47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3">
        <v>42</v>
      </c>
      <c r="C3" t="s" s="5">
        <v>48</v>
      </c>
      <c r="D3" t="s" s="5">
        <v>8</v>
      </c>
      <c r="E3" t="s" s="5">
        <v>49</v>
      </c>
      <c r="F3" t="s" s="5">
        <v>9</v>
      </c>
      <c r="G3" t="s" s="5">
        <v>50</v>
      </c>
      <c r="H3" t="s" s="5">
        <v>51</v>
      </c>
      <c r="I3" t="s" s="5">
        <v>3</v>
      </c>
      <c r="J3" t="s" s="5">
        <v>52</v>
      </c>
    </row>
    <row r="4" ht="20.25" customHeight="1">
      <c r="B4" s="25">
        <v>2017</v>
      </c>
      <c r="C4" s="26">
        <v>137</v>
      </c>
      <c r="D4" s="27">
        <v>7.8</v>
      </c>
      <c r="E4" s="27">
        <v>-9.300000000000001</v>
      </c>
      <c r="F4" s="27">
        <v>9.4</v>
      </c>
      <c r="G4" s="27">
        <v>-19</v>
      </c>
      <c r="H4" s="27">
        <f>SUM(D4:F4)</f>
        <v>7.9</v>
      </c>
      <c r="I4" s="27">
        <f>AVERAGE(H4:H4)</f>
        <v>7.9</v>
      </c>
      <c r="J4" s="27">
        <f>-G4</f>
        <v>19</v>
      </c>
    </row>
    <row r="5" ht="20.05" customHeight="1">
      <c r="B5" s="29"/>
      <c r="C5" s="18">
        <v>142.3</v>
      </c>
      <c r="D5" s="19">
        <v>53.6</v>
      </c>
      <c r="E5" s="19">
        <v>4</v>
      </c>
      <c r="F5" s="19">
        <v>-14.6</v>
      </c>
      <c r="G5" s="19">
        <v>-35.4</v>
      </c>
      <c r="H5" s="19">
        <f>SUM(D5:F5)</f>
        <v>43</v>
      </c>
      <c r="I5" s="19">
        <f>AVERAGE(H4:H5)</f>
        <v>25.45</v>
      </c>
      <c r="J5" s="19">
        <f>-G5+J4</f>
        <v>54.4</v>
      </c>
    </row>
    <row r="6" ht="20.05" customHeight="1">
      <c r="B6" s="29"/>
      <c r="C6" s="18">
        <v>139.2</v>
      </c>
      <c r="D6" s="19">
        <v>-35.2</v>
      </c>
      <c r="E6" s="19">
        <v>-84</v>
      </c>
      <c r="F6" s="19">
        <v>-1.2</v>
      </c>
      <c r="G6" s="19">
        <v>32.3</v>
      </c>
      <c r="H6" s="19">
        <f>SUM(D6:F6)</f>
        <v>-120.4</v>
      </c>
      <c r="I6" s="19">
        <f>AVERAGE(H4:H6)</f>
        <v>-23.1666666666667</v>
      </c>
      <c r="J6" s="19">
        <f>-G6+J5</f>
        <v>22.1</v>
      </c>
    </row>
    <row r="7" ht="20.05" customHeight="1">
      <c r="B7" s="29"/>
      <c r="C7" s="18">
        <v>142.5</v>
      </c>
      <c r="D7" s="19">
        <v>-182.4</v>
      </c>
      <c r="E7" s="19">
        <v>-51.9</v>
      </c>
      <c r="F7" s="19">
        <v>-78.59999999999999</v>
      </c>
      <c r="G7" s="19">
        <v>264.1</v>
      </c>
      <c r="H7" s="19">
        <f>SUM(D7:F7)</f>
        <v>-312.9</v>
      </c>
      <c r="I7" s="19">
        <f>AVERAGE(H4:H7)</f>
        <v>-95.59999999999999</v>
      </c>
      <c r="J7" s="19">
        <f>-G7+J6</f>
        <v>-242</v>
      </c>
    </row>
    <row r="8" ht="20.05" customHeight="1">
      <c r="B8" s="30">
        <v>2018</v>
      </c>
      <c r="C8" s="18">
        <v>154.7</v>
      </c>
      <c r="D8" s="19">
        <v>-102.9</v>
      </c>
      <c r="E8" s="19">
        <v>-14.6</v>
      </c>
      <c r="F8" s="19">
        <v>-8.6</v>
      </c>
      <c r="G8" s="19">
        <v>113.5</v>
      </c>
      <c r="H8" s="19">
        <f>SUM(D8:F8)</f>
        <v>-126.1</v>
      </c>
      <c r="I8" s="19">
        <f>AVERAGE(H5:H8)</f>
        <v>-129.1</v>
      </c>
      <c r="J8" s="19">
        <f>-G8+J7</f>
        <v>-355.5</v>
      </c>
    </row>
    <row r="9" ht="20.05" customHeight="1">
      <c r="B9" s="29"/>
      <c r="C9" s="18">
        <v>225.8</v>
      </c>
      <c r="D9" s="19">
        <v>6.4</v>
      </c>
      <c r="E9" s="19">
        <v>-18.5</v>
      </c>
      <c r="F9" s="19">
        <v>-24.1</v>
      </c>
      <c r="G9" s="19">
        <v>24.1</v>
      </c>
      <c r="H9" s="19">
        <f>SUM(D9:F9)</f>
        <v>-36.2</v>
      </c>
      <c r="I9" s="19">
        <f>AVERAGE(H6:H9)</f>
        <v>-148.9</v>
      </c>
      <c r="J9" s="19">
        <f>-G9+J8</f>
        <v>-379.6</v>
      </c>
    </row>
    <row r="10" ht="20.05" customHeight="1">
      <c r="B10" s="29"/>
      <c r="C10" s="18">
        <v>202.6</v>
      </c>
      <c r="D10" s="19">
        <v>-129.1</v>
      </c>
      <c r="E10" s="19">
        <v>0</v>
      </c>
      <c r="F10" s="19">
        <v>-65.40000000000001</v>
      </c>
      <c r="G10" s="19">
        <v>234.7</v>
      </c>
      <c r="H10" s="19">
        <f>SUM(D10:F10)</f>
        <v>-194.5</v>
      </c>
      <c r="I10" s="19">
        <f>AVERAGE(H7:H10)</f>
        <v>-167.425</v>
      </c>
      <c r="J10" s="19">
        <f>-G10+J9</f>
        <v>-614.3</v>
      </c>
    </row>
    <row r="11" ht="20.05" customHeight="1">
      <c r="B11" s="29"/>
      <c r="C11" s="18">
        <v>158.3</v>
      </c>
      <c r="D11" s="19">
        <v>-84.09999999999999</v>
      </c>
      <c r="E11" s="19">
        <v>-73.3</v>
      </c>
      <c r="F11" s="19">
        <v>24.5</v>
      </c>
      <c r="G11" s="19">
        <v>17</v>
      </c>
      <c r="H11" s="19">
        <f>SUM(D11:F11)</f>
        <v>-132.9</v>
      </c>
      <c r="I11" s="19">
        <f>AVERAGE(H8:H11)</f>
        <v>-122.425</v>
      </c>
      <c r="J11" s="19">
        <f>-G11+J10</f>
        <v>-631.3</v>
      </c>
    </row>
    <row r="12" ht="20.05" customHeight="1">
      <c r="B12" s="30">
        <v>2019</v>
      </c>
      <c r="C12" s="18">
        <v>166.4</v>
      </c>
      <c r="D12" s="19">
        <v>-51.1</v>
      </c>
      <c r="E12" s="19">
        <v>-19.7</v>
      </c>
      <c r="F12" s="19">
        <v>-19.7</v>
      </c>
      <c r="G12" s="19">
        <v>76.90000000000001</v>
      </c>
      <c r="H12" s="19">
        <f>SUM(D12:F12)</f>
        <v>-90.5</v>
      </c>
      <c r="I12" s="19">
        <f>AVERAGE(H9:H12)</f>
        <v>-113.525</v>
      </c>
      <c r="J12" s="19">
        <f>-G12+J11</f>
        <v>-708.2</v>
      </c>
    </row>
    <row r="13" ht="20.05" customHeight="1">
      <c r="B13" s="29"/>
      <c r="C13" s="18">
        <v>203.8</v>
      </c>
      <c r="D13" s="19">
        <v>-42.6</v>
      </c>
      <c r="E13" s="19">
        <v>-20.8</v>
      </c>
      <c r="F13" s="19">
        <v>-47.1</v>
      </c>
      <c r="G13" s="19">
        <v>90.59999999999999</v>
      </c>
      <c r="H13" s="19">
        <f>SUM(D13:F13)</f>
        <v>-110.5</v>
      </c>
      <c r="I13" s="19">
        <f>AVERAGE(H10:H13)</f>
        <v>-132.1</v>
      </c>
      <c r="J13" s="19">
        <f>-G13+J12</f>
        <v>-798.8</v>
      </c>
    </row>
    <row r="14" ht="20.05" customHeight="1">
      <c r="B14" s="29"/>
      <c r="C14" s="18">
        <v>203.7</v>
      </c>
      <c r="D14" s="19">
        <v>-34</v>
      </c>
      <c r="E14" s="19">
        <v>-13.3</v>
      </c>
      <c r="F14" s="19">
        <v>-24.5</v>
      </c>
      <c r="G14" s="19">
        <v>53.9</v>
      </c>
      <c r="H14" s="19">
        <f>SUM(D14:F14)</f>
        <v>-71.8</v>
      </c>
      <c r="I14" s="19">
        <f>AVERAGE(H11:H14)</f>
        <v>-101.425</v>
      </c>
      <c r="J14" s="19">
        <f>-G14+J13</f>
        <v>-852.7</v>
      </c>
    </row>
    <row r="15" ht="20.05" customHeight="1">
      <c r="B15" s="29"/>
      <c r="C15" s="18">
        <v>204</v>
      </c>
      <c r="D15" s="19">
        <v>9.9</v>
      </c>
      <c r="E15" s="19">
        <v>-57.1</v>
      </c>
      <c r="F15" s="19">
        <v>-26.9</v>
      </c>
      <c r="G15" s="19">
        <v>68</v>
      </c>
      <c r="H15" s="19">
        <f>SUM(D15:F15)</f>
        <v>-74.09999999999999</v>
      </c>
      <c r="I15" s="19">
        <f>AVERAGE(H12:H15)</f>
        <v>-86.72499999999999</v>
      </c>
      <c r="J15" s="19">
        <f>-G15+J14</f>
        <v>-920.7</v>
      </c>
    </row>
    <row r="16" ht="20.05" customHeight="1">
      <c r="B16" s="30">
        <v>2020</v>
      </c>
      <c r="C16" s="18">
        <v>165.2</v>
      </c>
      <c r="D16" s="19">
        <v>-29.7</v>
      </c>
      <c r="E16" s="19">
        <v>-9.699999999999999</v>
      </c>
      <c r="F16" s="19">
        <v>-23.4</v>
      </c>
      <c r="G16" s="19">
        <v>48.8</v>
      </c>
      <c r="H16" s="19">
        <f>SUM(D16:F16)</f>
        <v>-62.8</v>
      </c>
      <c r="I16" s="19">
        <f>AVERAGE(H13:H16)</f>
        <v>-79.8</v>
      </c>
      <c r="J16" s="19">
        <f>-G16+J15</f>
        <v>-969.5</v>
      </c>
    </row>
    <row r="17" ht="20.05" customHeight="1">
      <c r="B17" s="29"/>
      <c r="C17" s="18">
        <v>71.59999999999999</v>
      </c>
      <c r="D17" s="19">
        <v>-64.8</v>
      </c>
      <c r="E17" s="19">
        <v>-7.7</v>
      </c>
      <c r="F17" s="19">
        <v>-17.7</v>
      </c>
      <c r="G17" s="19">
        <v>81.5</v>
      </c>
      <c r="H17" s="19">
        <f>SUM(D17:F17)</f>
        <v>-90.2</v>
      </c>
      <c r="I17" s="19">
        <f>AVERAGE(H14:H17)</f>
        <v>-74.72499999999999</v>
      </c>
      <c r="J17" s="19">
        <f>-G17+J16</f>
        <v>-1051</v>
      </c>
    </row>
    <row r="18" ht="20.05" customHeight="1">
      <c r="B18" s="29"/>
      <c r="C18" s="18">
        <v>80.3</v>
      </c>
      <c r="D18" s="19">
        <v>-70.3</v>
      </c>
      <c r="E18" s="19">
        <v>-8</v>
      </c>
      <c r="F18" s="19">
        <v>-18.3</v>
      </c>
      <c r="G18" s="19">
        <v>91.40000000000001</v>
      </c>
      <c r="H18" s="19">
        <f>SUM(D18:F18)</f>
        <v>-96.59999999999999</v>
      </c>
      <c r="I18" s="19">
        <f>AVERAGE(H15:H18)</f>
        <v>-80.925</v>
      </c>
      <c r="J18" s="19">
        <f>-G18+J17</f>
        <v>-1142.4</v>
      </c>
    </row>
    <row r="19" ht="20.05" customHeight="1">
      <c r="B19" s="29"/>
      <c r="C19" s="18">
        <v>104.2</v>
      </c>
      <c r="D19" s="19">
        <v>-82.90000000000001</v>
      </c>
      <c r="E19" s="19">
        <v>-51</v>
      </c>
      <c r="F19" s="19">
        <v>-11.6</v>
      </c>
      <c r="G19" s="19">
        <v>99.09999999999999</v>
      </c>
      <c r="H19" s="19">
        <f>SUM(D19:F19)</f>
        <v>-145.5</v>
      </c>
      <c r="I19" s="19">
        <f>AVERAGE(H16:H19)</f>
        <v>-98.77500000000001</v>
      </c>
      <c r="J19" s="19">
        <f>-G19+J18</f>
        <v>-1241.5</v>
      </c>
    </row>
    <row r="20" ht="20.05" customHeight="1">
      <c r="B20" s="30">
        <v>2021</v>
      </c>
      <c r="C20" s="18">
        <v>146.6</v>
      </c>
      <c r="D20" s="19">
        <v>-56.6</v>
      </c>
      <c r="E20" s="19">
        <v>-4.9</v>
      </c>
      <c r="F20" s="19">
        <v>-18.7</v>
      </c>
      <c r="G20" s="19">
        <v>69.90000000000001</v>
      </c>
      <c r="H20" s="19">
        <f>SUM(D20:F20)</f>
        <v>-80.2</v>
      </c>
      <c r="I20" s="19">
        <f>AVERAGE(H17:H20)</f>
        <v>-103.125</v>
      </c>
      <c r="J20" s="19">
        <f>-G20+J19</f>
        <v>-1311.4</v>
      </c>
    </row>
    <row r="21" ht="20.05" customHeight="1">
      <c r="B21" s="29"/>
      <c r="C21" s="18">
        <v>228.7</v>
      </c>
      <c r="D21" s="19">
        <v>-4.1</v>
      </c>
      <c r="E21" s="19">
        <v>-7.3</v>
      </c>
      <c r="F21" s="19">
        <v>-19.3</v>
      </c>
      <c r="G21" s="19">
        <v>40.9</v>
      </c>
      <c r="H21" s="19">
        <f>SUM(D21:F21)</f>
        <v>-30.7</v>
      </c>
      <c r="I21" s="19">
        <f>AVERAGE(H18:H21)</f>
        <v>-88.25</v>
      </c>
      <c r="J21" s="19">
        <f>-G21+J20</f>
        <v>-1352.3</v>
      </c>
    </row>
    <row r="22" ht="20.05" customHeight="1">
      <c r="B22" s="29"/>
      <c r="C22" s="18"/>
      <c r="D22" s="19"/>
      <c r="E22" s="32"/>
      <c r="F22" s="32"/>
      <c r="G22" s="32"/>
      <c r="H22" s="19"/>
      <c r="I22" s="19">
        <f>SUM('Model'!F9:F10)</f>
        <v>11.2205516</v>
      </c>
      <c r="J22" s="19">
        <f>'Model'!F32</f>
        <v>-1314.8895684</v>
      </c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J17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8.78125" style="33" customWidth="1"/>
    <col min="2" max="10" width="10.4766" style="33" customWidth="1"/>
    <col min="11" max="16384" width="16.3516" style="33" customWidth="1"/>
  </cols>
  <sheetData>
    <row r="1" ht="27.65" customHeight="1">
      <c r="A1" t="s" s="2">
        <v>21</v>
      </c>
      <c r="B1" s="2"/>
      <c r="C1" s="2"/>
      <c r="D1" s="2"/>
      <c r="E1" s="2"/>
      <c r="F1" s="2"/>
      <c r="G1" s="2"/>
      <c r="H1" s="2"/>
      <c r="I1" s="2"/>
      <c r="J1" s="2"/>
    </row>
    <row r="2" ht="32.25" customHeight="1">
      <c r="A2" t="s" s="3">
        <v>42</v>
      </c>
      <c r="B2" t="s" s="5">
        <v>53</v>
      </c>
      <c r="C2" t="s" s="5">
        <v>54</v>
      </c>
      <c r="D2" t="s" s="5">
        <v>22</v>
      </c>
      <c r="E2" t="s" s="5">
        <v>23</v>
      </c>
      <c r="F2" t="s" s="5">
        <v>11</v>
      </c>
      <c r="G2" t="s" s="5">
        <v>25</v>
      </c>
      <c r="H2" t="s" s="5">
        <v>55</v>
      </c>
      <c r="I2" t="s" s="5">
        <v>56</v>
      </c>
      <c r="J2" t="s" s="5">
        <v>34</v>
      </c>
    </row>
    <row r="3" ht="19.75" customHeight="1">
      <c r="A3" s="25">
        <v>2018</v>
      </c>
      <c r="B3" s="26">
        <v>9</v>
      </c>
      <c r="C3" s="27">
        <v>3366</v>
      </c>
      <c r="D3" s="27">
        <f>C3-B3</f>
        <v>3357</v>
      </c>
      <c r="E3" s="27">
        <f>283+366</f>
        <v>649</v>
      </c>
      <c r="F3" s="27">
        <v>2590</v>
      </c>
      <c r="G3" s="27">
        <v>776</v>
      </c>
      <c r="H3" s="27">
        <f>F3+G3-D3-B3</f>
        <v>0</v>
      </c>
      <c r="I3" s="27">
        <f>B3-F3</f>
        <v>-2581</v>
      </c>
      <c r="J3" s="27"/>
    </row>
    <row r="4" ht="19.75" customHeight="1">
      <c r="A4" s="29"/>
      <c r="B4" s="18">
        <v>15</v>
      </c>
      <c r="C4" s="19">
        <v>3489</v>
      </c>
      <c r="D4" s="19">
        <f>C4-B4</f>
        <v>3474</v>
      </c>
      <c r="E4" s="19">
        <f>294+381</f>
        <v>675</v>
      </c>
      <c r="F4" s="19">
        <v>2752</v>
      </c>
      <c r="G4" s="19">
        <v>737</v>
      </c>
      <c r="H4" s="19">
        <f>F4+G4-D4-B4</f>
        <v>0</v>
      </c>
      <c r="I4" s="19">
        <f>B4-F4</f>
        <v>-2737</v>
      </c>
      <c r="J4" s="19"/>
    </row>
    <row r="5" ht="19.75" customHeight="1">
      <c r="A5" s="29"/>
      <c r="B5" s="18">
        <v>55</v>
      </c>
      <c r="C5" s="19">
        <v>3576</v>
      </c>
      <c r="D5" s="19">
        <f>C5-B5</f>
        <v>3521</v>
      </c>
      <c r="E5" s="19">
        <f>305+397</f>
        <v>702</v>
      </c>
      <c r="F5" s="19">
        <v>2905</v>
      </c>
      <c r="G5" s="19">
        <v>671</v>
      </c>
      <c r="H5" s="19">
        <f>F5+G5-D5-B5</f>
        <v>0</v>
      </c>
      <c r="I5" s="19">
        <f>B5-F5</f>
        <v>-2850</v>
      </c>
      <c r="J5" s="19"/>
    </row>
    <row r="6" ht="19.75" customHeight="1">
      <c r="A6" s="29"/>
      <c r="B6" s="18">
        <v>13</v>
      </c>
      <c r="C6" s="19">
        <v>3442</v>
      </c>
      <c r="D6" s="19">
        <f>C6-B6</f>
        <v>3429</v>
      </c>
      <c r="E6" s="19">
        <f>412+315</f>
        <v>727</v>
      </c>
      <c r="F6" s="19">
        <v>2768</v>
      </c>
      <c r="G6" s="19">
        <v>674</v>
      </c>
      <c r="H6" s="19">
        <f>F6+G6-D6-B6</f>
        <v>0</v>
      </c>
      <c r="I6" s="19">
        <f>B6-F6</f>
        <v>-2755</v>
      </c>
      <c r="J6" s="19"/>
    </row>
    <row r="7" ht="19.75" customHeight="1">
      <c r="A7" s="30">
        <v>2019</v>
      </c>
      <c r="B7" s="18">
        <v>19</v>
      </c>
      <c r="C7" s="19">
        <v>3507</v>
      </c>
      <c r="D7" s="19">
        <f>C7-B7</f>
        <v>3488</v>
      </c>
      <c r="E7" s="19">
        <f>327+427</f>
        <v>754</v>
      </c>
      <c r="F7" s="19">
        <v>2911</v>
      </c>
      <c r="G7" s="19">
        <v>596</v>
      </c>
      <c r="H7" s="19">
        <f>F7+G7-D7-B7</f>
        <v>0</v>
      </c>
      <c r="I7" s="19">
        <f>B7-F7</f>
        <v>-2892</v>
      </c>
      <c r="J7" s="19"/>
    </row>
    <row r="8" ht="19.75" customHeight="1">
      <c r="A8" s="29"/>
      <c r="B8" s="18">
        <v>20</v>
      </c>
      <c r="C8" s="19">
        <v>3526</v>
      </c>
      <c r="D8" s="19">
        <f>C8-B8</f>
        <v>3506</v>
      </c>
      <c r="E8" s="19">
        <f>339+443</f>
        <v>782</v>
      </c>
      <c r="F8" s="19">
        <v>2997</v>
      </c>
      <c r="G8" s="19">
        <v>529</v>
      </c>
      <c r="H8" s="19">
        <f>F8+G8-D8-B8</f>
        <v>0</v>
      </c>
      <c r="I8" s="19">
        <f>B8-F8</f>
        <v>-2977</v>
      </c>
      <c r="J8" s="19"/>
    </row>
    <row r="9" ht="19.75" customHeight="1">
      <c r="A9" s="29"/>
      <c r="B9" s="18">
        <v>15</v>
      </c>
      <c r="C9" s="19">
        <v>3517</v>
      </c>
      <c r="D9" s="19">
        <f>C9-B9</f>
        <v>3502</v>
      </c>
      <c r="E9" s="19">
        <f>352+458</f>
        <v>810</v>
      </c>
      <c r="F9" s="19">
        <v>3059</v>
      </c>
      <c r="G9" s="19">
        <v>458</v>
      </c>
      <c r="H9" s="19">
        <f>F9+G9-D9-B9</f>
        <v>0</v>
      </c>
      <c r="I9" s="19">
        <f>B9-F9</f>
        <v>-3044</v>
      </c>
      <c r="J9" s="19"/>
    </row>
    <row r="10" ht="19.75" customHeight="1">
      <c r="A10" s="29"/>
      <c r="B10" s="18">
        <v>6</v>
      </c>
      <c r="C10" s="19">
        <v>3490</v>
      </c>
      <c r="D10" s="19">
        <f>C10-B10</f>
        <v>3484</v>
      </c>
      <c r="E10" s="19">
        <f>364+474</f>
        <v>838</v>
      </c>
      <c r="F10" s="19">
        <v>3100</v>
      </c>
      <c r="G10" s="19">
        <v>390</v>
      </c>
      <c r="H10" s="19">
        <f>F10+G10-D10-B10</f>
        <v>0</v>
      </c>
      <c r="I10" s="19">
        <f>B10-F10</f>
        <v>-3094</v>
      </c>
      <c r="J10" s="19"/>
    </row>
    <row r="11" ht="19.75" customHeight="1">
      <c r="A11" s="30">
        <v>2020</v>
      </c>
      <c r="B11" s="18">
        <v>2</v>
      </c>
      <c r="C11" s="19">
        <v>3508</v>
      </c>
      <c r="D11" s="19">
        <f>C11-B11</f>
        <v>3506</v>
      </c>
      <c r="E11" s="19">
        <f>376+489</f>
        <v>865</v>
      </c>
      <c r="F11" s="19">
        <v>3166</v>
      </c>
      <c r="G11" s="19">
        <v>342</v>
      </c>
      <c r="H11" s="19">
        <f>F11+G11-D11-B11</f>
        <v>0</v>
      </c>
      <c r="I11" s="19">
        <f>B11-F11</f>
        <v>-3164</v>
      </c>
      <c r="J11" s="19"/>
    </row>
    <row r="12" ht="19.75" customHeight="1">
      <c r="A12" s="29"/>
      <c r="B12" s="18">
        <v>1</v>
      </c>
      <c r="C12" s="19">
        <v>3514</v>
      </c>
      <c r="D12" s="19">
        <f>C12-B12</f>
        <v>3513</v>
      </c>
      <c r="E12" s="19">
        <f>389+504</f>
        <v>893</v>
      </c>
      <c r="F12" s="19">
        <v>3268</v>
      </c>
      <c r="G12" s="19">
        <v>246</v>
      </c>
      <c r="H12" s="19">
        <f>F12+G12-D12-B12</f>
        <v>0</v>
      </c>
      <c r="I12" s="19">
        <f>B12-F12</f>
        <v>-3267</v>
      </c>
      <c r="J12" s="34"/>
    </row>
    <row r="13" ht="19.75" customHeight="1">
      <c r="A13" s="29"/>
      <c r="B13" s="18">
        <v>4</v>
      </c>
      <c r="C13" s="19">
        <v>3510</v>
      </c>
      <c r="D13" s="19">
        <f>C13-B13</f>
        <v>3506</v>
      </c>
      <c r="E13" s="19">
        <f>401+519</f>
        <v>920</v>
      </c>
      <c r="F13" s="19">
        <v>3346</v>
      </c>
      <c r="G13" s="19">
        <v>164</v>
      </c>
      <c r="H13" s="19">
        <f>F13+G13-D13-B13</f>
        <v>0</v>
      </c>
      <c r="I13" s="19">
        <f>B13-F13</f>
        <v>-3342</v>
      </c>
      <c r="J13" s="19"/>
    </row>
    <row r="14" ht="19.75" customHeight="1">
      <c r="A14" s="29"/>
      <c r="B14" s="18">
        <v>8</v>
      </c>
      <c r="C14" s="19">
        <v>3494</v>
      </c>
      <c r="D14" s="19">
        <f>C14-B14</f>
        <v>3486</v>
      </c>
      <c r="E14" s="19">
        <f>536+412</f>
        <v>948</v>
      </c>
      <c r="F14" s="19">
        <v>3250</v>
      </c>
      <c r="G14" s="19">
        <v>244</v>
      </c>
      <c r="H14" s="19">
        <f>F14+G14-D14-B14</f>
        <v>0</v>
      </c>
      <c r="I14" s="19">
        <f>B14-F14</f>
        <v>-3242</v>
      </c>
      <c r="J14" s="19"/>
    </row>
    <row r="15" ht="19.75" customHeight="1">
      <c r="A15" s="30">
        <v>2021</v>
      </c>
      <c r="B15" s="18">
        <v>3</v>
      </c>
      <c r="C15" s="19">
        <v>3548</v>
      </c>
      <c r="D15" s="19">
        <f>C15-B15</f>
        <v>3545</v>
      </c>
      <c r="E15" s="19">
        <f>551+426</f>
        <v>977</v>
      </c>
      <c r="F15" s="19">
        <v>3306</v>
      </c>
      <c r="G15" s="19">
        <v>242</v>
      </c>
      <c r="H15" s="19">
        <f>F15+G15-D15-B15</f>
        <v>0</v>
      </c>
      <c r="I15" s="19">
        <f>B15-F15</f>
        <v>-3303</v>
      </c>
      <c r="J15" s="19"/>
    </row>
    <row r="16" ht="19.75" customHeight="1">
      <c r="A16" s="29"/>
      <c r="B16" s="18">
        <v>20</v>
      </c>
      <c r="C16" s="19">
        <v>3598</v>
      </c>
      <c r="D16" s="19">
        <f>C16-B16</f>
        <v>3578</v>
      </c>
      <c r="E16" s="19">
        <f>566+442</f>
        <v>1008</v>
      </c>
      <c r="F16" s="19">
        <v>3333</v>
      </c>
      <c r="G16" s="19">
        <v>265</v>
      </c>
      <c r="H16" s="19">
        <f>F16+G16-D16-B16</f>
        <v>0</v>
      </c>
      <c r="I16" s="19">
        <f>B16-F16</f>
        <v>-3313</v>
      </c>
      <c r="J16" s="19">
        <f>I16</f>
        <v>-3313</v>
      </c>
    </row>
    <row r="17" ht="19.75" customHeight="1">
      <c r="A17" s="29"/>
      <c r="B17" s="18"/>
      <c r="C17" s="19"/>
      <c r="D17" s="19">
        <f>C17-B17</f>
        <v>0</v>
      </c>
      <c r="E17" s="19"/>
      <c r="F17" s="19"/>
      <c r="G17" s="19"/>
      <c r="H17" s="19"/>
      <c r="I17" s="19"/>
      <c r="J17" s="19">
        <f>'Model'!F30</f>
        <v>-3275.63162356</v>
      </c>
    </row>
  </sheetData>
  <mergeCells count="1">
    <mergeCell ref="A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2:D61"/>
  <sheetViews>
    <sheetView workbookViewId="0" showGridLines="0" defaultGridColor="1"/>
  </sheetViews>
  <sheetFormatPr defaultColWidth="8.33333" defaultRowHeight="19.9" customHeight="1" outlineLevelRow="0" outlineLevelCol="0"/>
  <cols>
    <col min="1" max="1" width="3.02344" style="35" customWidth="1"/>
    <col min="2" max="2" width="5.26562" style="35" customWidth="1"/>
    <col min="3" max="3" width="8.4375" style="35" customWidth="1"/>
    <col min="4" max="4" width="10.1094" style="35" customWidth="1"/>
    <col min="5" max="16384" width="8.35156" style="35" customWidth="1"/>
  </cols>
  <sheetData>
    <row r="1" ht="27.65" customHeight="1">
      <c r="B1" t="s" s="2">
        <v>57</v>
      </c>
      <c r="C1" s="2"/>
      <c r="D1" s="2"/>
    </row>
    <row r="2" ht="20.25" customHeight="1">
      <c r="B2" s="36"/>
      <c r="C2" t="s" s="37">
        <v>58</v>
      </c>
      <c r="D2" t="s" s="37">
        <v>59</v>
      </c>
    </row>
    <row r="3" ht="20.25" customHeight="1">
      <c r="B3" s="38">
        <v>2017</v>
      </c>
      <c r="C3" s="39">
        <v>147</v>
      </c>
      <c r="D3" s="40"/>
    </row>
    <row r="4" ht="20.05" customHeight="1">
      <c r="B4" s="41"/>
      <c r="C4" s="42">
        <v>140</v>
      </c>
      <c r="D4" s="43"/>
    </row>
    <row r="5" ht="20.05" customHeight="1">
      <c r="B5" s="41"/>
      <c r="C5" s="42">
        <v>138</v>
      </c>
      <c r="D5" s="43"/>
    </row>
    <row r="6" ht="20.05" customHeight="1">
      <c r="B6" s="41"/>
      <c r="C6" s="42">
        <v>137</v>
      </c>
      <c r="D6" s="43"/>
    </row>
    <row r="7" ht="20.05" customHeight="1">
      <c r="B7" s="41"/>
      <c r="C7" s="42">
        <v>141</v>
      </c>
      <c r="D7" s="43"/>
    </row>
    <row r="8" ht="20.05" customHeight="1">
      <c r="B8" s="41"/>
      <c r="C8" s="42">
        <v>147</v>
      </c>
      <c r="D8" s="43"/>
    </row>
    <row r="9" ht="20.05" customHeight="1">
      <c r="B9" s="41"/>
      <c r="C9" s="42">
        <v>212</v>
      </c>
      <c r="D9" s="43"/>
    </row>
    <row r="10" ht="20.05" customHeight="1">
      <c r="B10" s="41"/>
      <c r="C10" s="42">
        <v>200</v>
      </c>
      <c r="D10" s="43"/>
    </row>
    <row r="11" ht="20.05" customHeight="1">
      <c r="B11" s="41"/>
      <c r="C11" s="42">
        <v>244</v>
      </c>
      <c r="D11" s="43"/>
    </row>
    <row r="12" ht="20.05" customHeight="1">
      <c r="B12" s="41"/>
      <c r="C12" s="42">
        <v>246</v>
      </c>
      <c r="D12" s="43"/>
    </row>
    <row r="13" ht="20.05" customHeight="1">
      <c r="B13" s="41"/>
      <c r="C13" s="42">
        <v>200</v>
      </c>
      <c r="D13" s="43"/>
    </row>
    <row r="14" ht="20.05" customHeight="1">
      <c r="B14" s="41"/>
      <c r="C14" s="42">
        <v>202</v>
      </c>
      <c r="D14" s="43"/>
    </row>
    <row r="15" ht="20.05" customHeight="1">
      <c r="B15" s="44">
        <v>2018</v>
      </c>
      <c r="C15" s="42">
        <v>198</v>
      </c>
      <c r="D15" s="43"/>
    </row>
    <row r="16" ht="20.05" customHeight="1">
      <c r="B16" s="41"/>
      <c r="C16" s="42">
        <v>199</v>
      </c>
      <c r="D16" s="43"/>
    </row>
    <row r="17" ht="20.05" customHeight="1">
      <c r="B17" s="41"/>
      <c r="C17" s="42">
        <v>200</v>
      </c>
      <c r="D17" s="43"/>
    </row>
    <row r="18" ht="20.05" customHeight="1">
      <c r="B18" s="41"/>
      <c r="C18" s="42">
        <v>206</v>
      </c>
      <c r="D18" s="43"/>
    </row>
    <row r="19" ht="20.05" customHeight="1">
      <c r="B19" s="41"/>
      <c r="C19" s="42">
        <v>200</v>
      </c>
      <c r="D19" s="43"/>
    </row>
    <row r="20" ht="20.05" customHeight="1">
      <c r="B20" s="41"/>
      <c r="C20" s="42">
        <v>191</v>
      </c>
      <c r="D20" s="43"/>
    </row>
    <row r="21" ht="20.05" customHeight="1">
      <c r="B21" s="41"/>
      <c r="C21" s="42">
        <v>192</v>
      </c>
      <c r="D21" s="43"/>
    </row>
    <row r="22" ht="20.05" customHeight="1">
      <c r="B22" s="41"/>
      <c r="C22" s="42">
        <v>170</v>
      </c>
      <c r="D22" s="43"/>
    </row>
    <row r="23" ht="20.05" customHeight="1">
      <c r="B23" s="41"/>
      <c r="C23" s="42">
        <v>166</v>
      </c>
      <c r="D23" s="43"/>
    </row>
    <row r="24" ht="20.05" customHeight="1">
      <c r="B24" s="41"/>
      <c r="C24" s="42">
        <v>138</v>
      </c>
      <c r="D24" s="43"/>
    </row>
    <row r="25" ht="20.05" customHeight="1">
      <c r="B25" s="41"/>
      <c r="C25" s="42">
        <v>134</v>
      </c>
      <c r="D25" s="43"/>
    </row>
    <row r="26" ht="20.05" customHeight="1">
      <c r="B26" s="41"/>
      <c r="C26" s="42">
        <v>135</v>
      </c>
      <c r="D26" s="43"/>
    </row>
    <row r="27" ht="20.05" customHeight="1">
      <c r="B27" s="44">
        <v>2019</v>
      </c>
      <c r="C27" s="42">
        <v>135</v>
      </c>
      <c r="D27" s="43"/>
    </row>
    <row r="28" ht="20.05" customHeight="1">
      <c r="B28" s="41"/>
      <c r="C28" s="42">
        <v>139</v>
      </c>
      <c r="D28" s="43"/>
    </row>
    <row r="29" ht="20.05" customHeight="1">
      <c r="B29" s="41"/>
      <c r="C29" s="42">
        <v>136</v>
      </c>
      <c r="D29" s="43"/>
    </row>
    <row r="30" ht="20.05" customHeight="1">
      <c r="B30" s="41"/>
      <c r="C30" s="42">
        <v>127</v>
      </c>
      <c r="D30" s="43"/>
    </row>
    <row r="31" ht="20.05" customHeight="1">
      <c r="B31" s="41"/>
      <c r="C31" s="42">
        <v>138</v>
      </c>
      <c r="D31" s="43"/>
    </row>
    <row r="32" ht="20.05" customHeight="1">
      <c r="B32" s="41"/>
      <c r="C32" s="42">
        <v>123</v>
      </c>
      <c r="D32" s="43"/>
    </row>
    <row r="33" ht="20.05" customHeight="1">
      <c r="B33" s="41"/>
      <c r="C33" s="42">
        <v>116</v>
      </c>
      <c r="D33" s="43"/>
    </row>
    <row r="34" ht="20.05" customHeight="1">
      <c r="B34" s="41"/>
      <c r="C34" s="42">
        <v>109</v>
      </c>
      <c r="D34" s="43"/>
    </row>
    <row r="35" ht="20.05" customHeight="1">
      <c r="B35" s="41"/>
      <c r="C35" s="42">
        <v>108</v>
      </c>
      <c r="D35" s="43"/>
    </row>
    <row r="36" ht="20.05" customHeight="1">
      <c r="B36" s="41"/>
      <c r="C36" s="42">
        <v>122</v>
      </c>
      <c r="D36" s="43"/>
    </row>
    <row r="37" ht="20.05" customHeight="1">
      <c r="B37" s="41"/>
      <c r="C37" s="42">
        <v>95</v>
      </c>
      <c r="D37" s="43"/>
    </row>
    <row r="38" ht="20.05" customHeight="1">
      <c r="B38" s="41"/>
      <c r="C38" s="42">
        <v>92</v>
      </c>
      <c r="D38" s="45"/>
    </row>
    <row r="39" ht="20.05" customHeight="1">
      <c r="B39" s="44">
        <v>2020</v>
      </c>
      <c r="C39" s="42">
        <v>86</v>
      </c>
      <c r="D39" s="45"/>
    </row>
    <row r="40" ht="20.05" customHeight="1">
      <c r="B40" s="41"/>
      <c r="C40" s="42">
        <v>86</v>
      </c>
      <c r="D40" s="45"/>
    </row>
    <row r="41" ht="20.05" customHeight="1">
      <c r="B41" s="41"/>
      <c r="C41" s="42">
        <v>87</v>
      </c>
      <c r="D41" s="45"/>
    </row>
    <row r="42" ht="20.05" customHeight="1">
      <c r="B42" s="41"/>
      <c r="C42" s="42">
        <v>65</v>
      </c>
      <c r="D42" s="45"/>
    </row>
    <row r="43" ht="20.05" customHeight="1">
      <c r="B43" s="41"/>
      <c r="C43" s="42">
        <v>69</v>
      </c>
      <c r="D43" s="45"/>
    </row>
    <row r="44" ht="20.05" customHeight="1">
      <c r="B44" s="41"/>
      <c r="C44" s="42">
        <v>68</v>
      </c>
      <c r="D44" s="45"/>
    </row>
    <row r="45" ht="20.05" customHeight="1">
      <c r="B45" s="41"/>
      <c r="C45" s="42">
        <v>63</v>
      </c>
      <c r="D45" s="45"/>
    </row>
    <row r="46" ht="20.05" customHeight="1">
      <c r="B46" s="41"/>
      <c r="C46" s="42">
        <v>53</v>
      </c>
      <c r="D46" s="45"/>
    </row>
    <row r="47" ht="20.05" customHeight="1">
      <c r="B47" s="41"/>
      <c r="C47" s="42">
        <v>52</v>
      </c>
      <c r="D47" s="45"/>
    </row>
    <row r="48" ht="20.05" customHeight="1">
      <c r="B48" s="41"/>
      <c r="C48" s="42">
        <v>95</v>
      </c>
      <c r="D48" s="45"/>
    </row>
    <row r="49" ht="20.05" customHeight="1">
      <c r="B49" s="41"/>
      <c r="C49" s="42">
        <v>96</v>
      </c>
      <c r="D49" s="45"/>
    </row>
    <row r="50" ht="20.05" customHeight="1">
      <c r="B50" s="41"/>
      <c r="C50" s="42">
        <v>98</v>
      </c>
      <c r="D50" s="45"/>
    </row>
    <row r="51" ht="20.05" customHeight="1">
      <c r="B51" s="44">
        <v>2021</v>
      </c>
      <c r="C51" s="42">
        <v>89</v>
      </c>
      <c r="D51" s="45"/>
    </row>
    <row r="52" ht="20.05" customHeight="1">
      <c r="B52" s="41"/>
      <c r="C52" s="42">
        <v>88</v>
      </c>
      <c r="D52" s="45"/>
    </row>
    <row r="53" ht="20.05" customHeight="1">
      <c r="B53" s="41"/>
      <c r="C53" s="42">
        <v>89</v>
      </c>
      <c r="D53" s="45"/>
    </row>
    <row r="54" ht="20.05" customHeight="1">
      <c r="B54" s="41"/>
      <c r="C54" s="42">
        <v>89</v>
      </c>
      <c r="D54" s="45"/>
    </row>
    <row r="55" ht="20.05" customHeight="1">
      <c r="B55" s="41"/>
      <c r="C55" s="42">
        <v>130</v>
      </c>
      <c r="D55" s="45"/>
    </row>
    <row r="56" ht="20.05" customHeight="1">
      <c r="B56" s="41"/>
      <c r="C56" s="42">
        <v>116</v>
      </c>
      <c r="D56" s="45"/>
    </row>
    <row r="57" ht="20.05" customHeight="1">
      <c r="B57" s="41"/>
      <c r="C57" s="42">
        <v>126</v>
      </c>
      <c r="D57" s="45"/>
    </row>
    <row r="58" ht="20.05" customHeight="1">
      <c r="B58" s="41"/>
      <c r="C58" s="42">
        <v>130</v>
      </c>
      <c r="D58" s="45"/>
    </row>
    <row r="59" ht="20.05" customHeight="1">
      <c r="B59" s="41"/>
      <c r="C59" s="42">
        <v>132</v>
      </c>
      <c r="D59" s="45"/>
    </row>
    <row r="60" ht="20.05" customHeight="1">
      <c r="B60" s="41"/>
      <c r="C60" s="42">
        <v>156</v>
      </c>
      <c r="D60" s="46">
        <f>C60</f>
        <v>156</v>
      </c>
    </row>
    <row r="61" ht="20.05" customHeight="1">
      <c r="B61" s="41"/>
      <c r="C61" s="42"/>
      <c r="D61" s="46">
        <f>'Model'!F42</f>
        <v>178.339892980132</v>
      </c>
    </row>
  </sheetData>
  <mergeCells count="1">
    <mergeCell ref="B1:D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