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" sheetId="1" r:id="rId4"/>
    <sheet name="Sales" sheetId="2" r:id="rId5"/>
    <sheet name="Cashflow" sheetId="3" r:id="rId6"/>
    <sheet name="Balance sheet" sheetId="4" r:id="rId7"/>
    <sheet name="Share price" sheetId="5" r:id="rId8"/>
  </sheets>
</workbook>
</file>

<file path=xl/sharedStrings.xml><?xml version="1.0" encoding="utf-8"?>
<sst xmlns="http://schemas.openxmlformats.org/spreadsheetml/2006/main" uniqueCount="55">
  <si>
    <t>Financial model</t>
  </si>
  <si>
    <t>Rpbn</t>
  </si>
  <si>
    <t>4Q 2021</t>
  </si>
  <si>
    <t>Cashflow</t>
  </si>
  <si>
    <t>Growth</t>
  </si>
  <si>
    <t>Sales</t>
  </si>
  <si>
    <t xml:space="preserve">Cost ratio </t>
  </si>
  <si>
    <t>Cash costs</t>
  </si>
  <si>
    <t xml:space="preserve">Operating </t>
  </si>
  <si>
    <t xml:space="preserve">Investment </t>
  </si>
  <si>
    <t>Leases</t>
  </si>
  <si>
    <t xml:space="preserve">Financial </t>
  </si>
  <si>
    <t xml:space="preserve">Liabilities </t>
  </si>
  <si>
    <t xml:space="preserve">Equity </t>
  </si>
  <si>
    <t xml:space="preserve">Before revolver </t>
  </si>
  <si>
    <t xml:space="preserve">Revolver </t>
  </si>
  <si>
    <t xml:space="preserve">Beginning </t>
  </si>
  <si>
    <t>Change</t>
  </si>
  <si>
    <t xml:space="preserve">Ending </t>
  </si>
  <si>
    <t>Profit</t>
  </si>
  <si>
    <t>Non cash costs</t>
  </si>
  <si>
    <t xml:space="preserve">Profit </t>
  </si>
  <si>
    <t>Balance sheet</t>
  </si>
  <si>
    <t>Other assets</t>
  </si>
  <si>
    <t xml:space="preserve">Depreciation </t>
  </si>
  <si>
    <t>Net other assets</t>
  </si>
  <si>
    <t>Check</t>
  </si>
  <si>
    <t xml:space="preserve">Net cash </t>
  </si>
  <si>
    <t xml:space="preserve">Valuation </t>
  </si>
  <si>
    <t xml:space="preserve">Capital </t>
  </si>
  <si>
    <t xml:space="preserve">Current value </t>
  </si>
  <si>
    <t>P/assets</t>
  </si>
  <si>
    <t>Yield</t>
  </si>
  <si>
    <t xml:space="preserve">Cashflow </t>
  </si>
  <si>
    <t xml:space="preserve">Payback </t>
  </si>
  <si>
    <t xml:space="preserve">Forecast </t>
  </si>
  <si>
    <t xml:space="preserve">Value </t>
  </si>
  <si>
    <t>Shares</t>
  </si>
  <si>
    <t xml:space="preserve">Target </t>
  </si>
  <si>
    <t xml:space="preserve">Current </t>
  </si>
  <si>
    <t xml:space="preserve">V target </t>
  </si>
  <si>
    <t xml:space="preserve">12 month growth </t>
  </si>
  <si>
    <t xml:space="preserve">Sales forecasts </t>
  </si>
  <si>
    <t xml:space="preserve">Sales growth </t>
  </si>
  <si>
    <t xml:space="preserve">Cashflow costs </t>
  </si>
  <si>
    <t xml:space="preserve">Non cash costs </t>
  </si>
  <si>
    <t xml:space="preserve">Receipts </t>
  </si>
  <si>
    <t xml:space="preserve">Free cashflow </t>
  </si>
  <si>
    <t>Cash</t>
  </si>
  <si>
    <t>Assets</t>
  </si>
  <si>
    <t xml:space="preserve">Other assets </t>
  </si>
  <si>
    <t xml:space="preserve">Check </t>
  </si>
  <si>
    <t>Share price</t>
  </si>
  <si>
    <t>ISSP</t>
  </si>
  <si>
    <t>Target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</si>
</sst>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#,##0%"/>
    <numFmt numFmtId="60" formatCode="#,##0%_);[Red]\(#,##0%\)"/>
  </numFmts>
  <fonts count="3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1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0" fontId="2" fillId="2" borderId="1" applyNumberFormat="0" applyFont="1" applyFill="1" applyBorder="1" applyAlignment="1" applyProtection="0">
      <alignment horizontal="right" vertical="top" wrapText="1"/>
    </xf>
    <xf numFmtId="49" fontId="2" fillId="3" borderId="2" applyNumberFormat="1" applyFont="1" applyFill="1" applyBorder="1" applyAlignment="1" applyProtection="0">
      <alignment vertical="top" wrapText="1"/>
    </xf>
    <xf numFmtId="5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8" fontId="0" borderId="3" applyNumberFormat="1" applyFont="1" applyFill="0" applyBorder="1" applyAlignment="1" applyProtection="0">
      <alignment vertical="top" wrapText="1"/>
    </xf>
    <xf numFmtId="38" fontId="0" borderId="4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60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 wrapText="1"/>
    </xf>
    <xf numFmtId="1" fontId="0" borderId="3" applyNumberFormat="1" applyFont="1" applyFill="0" applyBorder="1" applyAlignment="1" applyProtection="0">
      <alignment vertical="top" wrapText="1"/>
    </xf>
    <xf numFmtId="1" fontId="0" borderId="6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5</xdr:col>
      <xdr:colOff>929636</xdr:colOff>
      <xdr:row>0</xdr:row>
      <xdr:rowOff>337461</xdr:rowOff>
    </xdr:from>
    <xdr:to>
      <xdr:col>12</xdr:col>
      <xdr:colOff>267545</xdr:colOff>
      <xdr:row>46</xdr:row>
      <xdr:rowOff>10440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701536" y="337461"/>
          <a:ext cx="8050110" cy="1148779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2:E46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15.5469" style="1" customWidth="1"/>
    <col min="2" max="5" width="8.5" style="1" customWidth="1"/>
    <col min="6" max="16384" width="16.3516" style="1" customWidth="1"/>
  </cols>
  <sheetData>
    <row r="1" ht="27.65" customHeight="1">
      <c r="A1" t="s" s="2">
        <v>0</v>
      </c>
      <c r="B1" s="2"/>
      <c r="C1" s="2"/>
      <c r="D1" s="2"/>
      <c r="E1" s="2"/>
    </row>
    <row r="2" ht="20.25" customHeight="1">
      <c r="A2" t="s" s="3">
        <v>1</v>
      </c>
      <c r="B2" t="s" s="4">
        <v>2</v>
      </c>
      <c r="C2" s="5"/>
      <c r="D2" s="5"/>
      <c r="E2" s="6"/>
    </row>
    <row r="3" ht="20.25" customHeight="1">
      <c r="A3" t="s" s="7">
        <v>3</v>
      </c>
      <c r="B3" s="8">
        <f>AVERAGE('Sales'!E15:E18)</f>
        <v>0.128762429234406</v>
      </c>
      <c r="C3" s="9"/>
      <c r="D3" s="9"/>
      <c r="E3" s="10">
        <f>AVERAGE(B4:E4)</f>
        <v>0.005</v>
      </c>
    </row>
    <row r="4" ht="20.05" customHeight="1">
      <c r="A4" t="s" s="11">
        <v>4</v>
      </c>
      <c r="B4" s="12">
        <v>-0.03</v>
      </c>
      <c r="C4" s="13">
        <v>-0.01</v>
      </c>
      <c r="D4" s="13">
        <v>0.01</v>
      </c>
      <c r="E4" s="13">
        <v>0.05</v>
      </c>
    </row>
    <row r="5" ht="20.05" customHeight="1">
      <c r="A5" t="s" s="11">
        <v>5</v>
      </c>
      <c r="B5" s="14">
        <f>'Sales'!C18*(1+B4)</f>
        <v>1575.474</v>
      </c>
      <c r="C5" s="15">
        <f>B5*(1+C4)</f>
        <v>1559.71926</v>
      </c>
      <c r="D5" s="15">
        <f>C5*(1+D4)</f>
        <v>1575.3164526</v>
      </c>
      <c r="E5" s="15">
        <f>D5*(1+E4)</f>
        <v>1654.08227523</v>
      </c>
    </row>
    <row r="6" ht="20.05" customHeight="1">
      <c r="A6" t="s" s="11">
        <v>6</v>
      </c>
      <c r="B6" s="16">
        <f>'Sales'!F18</f>
        <v>-0.863502031769487</v>
      </c>
      <c r="C6" s="17">
        <f>B6</f>
        <v>-0.863502031769487</v>
      </c>
      <c r="D6" s="17">
        <f>C6</f>
        <v>-0.863502031769487</v>
      </c>
      <c r="E6" s="17">
        <f>D6</f>
        <v>-0.863502031769487</v>
      </c>
    </row>
    <row r="7" ht="20.05" customHeight="1">
      <c r="A7" t="s" s="11">
        <v>7</v>
      </c>
      <c r="B7" s="18">
        <f>B5*B6</f>
        <v>-1360.425</v>
      </c>
      <c r="C7" s="19">
        <f>C5*C6</f>
        <v>-1346.82075</v>
      </c>
      <c r="D7" s="19">
        <f>D5*D6</f>
        <v>-1360.2889575</v>
      </c>
      <c r="E7" s="19">
        <f>E5*E6</f>
        <v>-1428.303405375</v>
      </c>
    </row>
    <row r="8" ht="20.05" customHeight="1">
      <c r="A8" t="s" s="11">
        <v>8</v>
      </c>
      <c r="B8" s="18">
        <f>B5+B7</f>
        <v>215.049</v>
      </c>
      <c r="C8" s="19">
        <f>C5+C7</f>
        <v>212.89851</v>
      </c>
      <c r="D8" s="19">
        <f>D5+D7</f>
        <v>215.0274951</v>
      </c>
      <c r="E8" s="19">
        <f>E5+E7</f>
        <v>225.778869855</v>
      </c>
    </row>
    <row r="9" ht="20.05" customHeight="1">
      <c r="A9" t="s" s="11">
        <v>9</v>
      </c>
      <c r="B9" s="18">
        <f>SUM('Cashflow'!G18)</f>
        <v>-28.8</v>
      </c>
      <c r="C9" s="19">
        <f>B9</f>
        <v>-28.8</v>
      </c>
      <c r="D9" s="19">
        <f>C9</f>
        <v>-28.8</v>
      </c>
      <c r="E9" s="19">
        <f>D9</f>
        <v>-28.8</v>
      </c>
    </row>
    <row r="10" ht="20.05" customHeight="1">
      <c r="A10" t="s" s="11">
        <v>10</v>
      </c>
      <c r="B10" s="18">
        <f>AVERAGE('Cashflow'!H16:H18)</f>
        <v>-9.9</v>
      </c>
      <c r="C10" s="19">
        <f>B10</f>
        <v>-9.9</v>
      </c>
      <c r="D10" s="19">
        <f>C10</f>
        <v>-9.9</v>
      </c>
      <c r="E10" s="19">
        <f>D10</f>
        <v>-9.9</v>
      </c>
    </row>
    <row r="11" ht="20.05" customHeight="1">
      <c r="A11" t="s" s="11">
        <v>11</v>
      </c>
      <c r="B11" s="18">
        <f>B12+B13+B15</f>
        <v>-186.249</v>
      </c>
      <c r="C11" s="19">
        <f>C12+C13+C15</f>
        <v>-184.09851</v>
      </c>
      <c r="D11" s="19">
        <f>D12+D13+D15</f>
        <v>-186.2274951</v>
      </c>
      <c r="E11" s="19">
        <f>E12+E13+E15</f>
        <v>-196.978869855</v>
      </c>
    </row>
    <row r="12" ht="20.05" customHeight="1">
      <c r="A12" t="s" s="11">
        <v>12</v>
      </c>
      <c r="B12" s="18">
        <f>-'Balance sheet'!G14/20</f>
        <v>-154.25</v>
      </c>
      <c r="C12" s="19">
        <f>-B26/20</f>
        <v>-146.5375</v>
      </c>
      <c r="D12" s="19">
        <f>-C26/20</f>
        <v>-139.210625</v>
      </c>
      <c r="E12" s="19">
        <f>-D26/20</f>
        <v>-132.25009375</v>
      </c>
    </row>
    <row r="13" ht="20.05" customHeight="1">
      <c r="A13" t="s" s="11">
        <v>13</v>
      </c>
      <c r="B13" s="18">
        <f>IF(B21&gt;0,-B21*0.3,0)</f>
        <v>-54.3597</v>
      </c>
      <c r="C13" s="19">
        <f>IF(C21&gt;0,-C21*0.3,0)</f>
        <v>-53.714553</v>
      </c>
      <c r="D13" s="19">
        <f>IF(D21&gt;0,-D21*0.3,0)</f>
        <v>-54.35324853</v>
      </c>
      <c r="E13" s="19">
        <f>IF(E21&gt;0,-E21*0.3,0)</f>
        <v>-57.5786609565</v>
      </c>
    </row>
    <row r="14" ht="20.05" customHeight="1">
      <c r="A14" t="s" s="11">
        <v>14</v>
      </c>
      <c r="B14" s="18">
        <f>B8+B9+B12+B13</f>
        <v>-22.3607</v>
      </c>
      <c r="C14" s="19">
        <f>C8+C9+C12+C13</f>
        <v>-16.153543</v>
      </c>
      <c r="D14" s="19">
        <f>D8+D9+D12+D13</f>
        <v>-7.33637843</v>
      </c>
      <c r="E14" s="19">
        <f>E8+E9+E12+E13</f>
        <v>7.1501151485</v>
      </c>
    </row>
    <row r="15" ht="20.05" customHeight="1">
      <c r="A15" t="s" s="11">
        <v>15</v>
      </c>
      <c r="B15" s="18">
        <f>-MIN(0,B14)</f>
        <v>22.3607</v>
      </c>
      <c r="C15" s="19">
        <f>-MIN(B27,C14)</f>
        <v>16.153543</v>
      </c>
      <c r="D15" s="19">
        <f>-MIN(C27,D14)</f>
        <v>7.33637843</v>
      </c>
      <c r="E15" s="19">
        <f>-MIN(D27,E14)</f>
        <v>-7.1501151485</v>
      </c>
    </row>
    <row r="16" ht="20.05" customHeight="1">
      <c r="A16" t="s" s="11">
        <v>16</v>
      </c>
      <c r="B16" s="18">
        <f>'Balance sheet'!C14</f>
        <v>54</v>
      </c>
      <c r="C16" s="19">
        <f>B18</f>
        <v>54</v>
      </c>
      <c r="D16" s="19">
        <f>C18</f>
        <v>54</v>
      </c>
      <c r="E16" s="19">
        <f>D18</f>
        <v>54</v>
      </c>
    </row>
    <row r="17" ht="20.05" customHeight="1">
      <c r="A17" t="s" s="11">
        <v>17</v>
      </c>
      <c r="B17" s="18">
        <f>B8+B9+B11</f>
        <v>0</v>
      </c>
      <c r="C17" s="19">
        <f>C8+C9+C11</f>
        <v>0</v>
      </c>
      <c r="D17" s="19">
        <f>D8+D9+D11</f>
        <v>0</v>
      </c>
      <c r="E17" s="19">
        <f>E8+E9+E11</f>
        <v>0</v>
      </c>
    </row>
    <row r="18" ht="20.05" customHeight="1">
      <c r="A18" t="s" s="11">
        <v>18</v>
      </c>
      <c r="B18" s="18">
        <f>B16+B17</f>
        <v>54</v>
      </c>
      <c r="C18" s="19">
        <f>C16+C17</f>
        <v>54</v>
      </c>
      <c r="D18" s="19">
        <f>D16+D17</f>
        <v>54</v>
      </c>
      <c r="E18" s="19">
        <f>E16+E17</f>
        <v>54</v>
      </c>
    </row>
    <row r="19" ht="20.05" customHeight="1">
      <c r="A19" t="s" s="20">
        <v>19</v>
      </c>
      <c r="B19" s="18"/>
      <c r="C19" s="19"/>
      <c r="D19" s="19"/>
      <c r="E19" s="21"/>
    </row>
    <row r="20" ht="20.05" customHeight="1">
      <c r="A20" t="s" s="11">
        <v>20</v>
      </c>
      <c r="B20" s="18">
        <f>-AVERAGE('Cashflow'!D17:D18)</f>
        <v>-33.85</v>
      </c>
      <c r="C20" s="19">
        <f>B20</f>
        <v>-33.85</v>
      </c>
      <c r="D20" s="19">
        <f>C20</f>
        <v>-33.85</v>
      </c>
      <c r="E20" s="19">
        <f>D20</f>
        <v>-33.85</v>
      </c>
    </row>
    <row r="21" ht="20.05" customHeight="1">
      <c r="A21" t="s" s="11">
        <v>21</v>
      </c>
      <c r="B21" s="18">
        <f>B5+B7+B20</f>
        <v>181.199</v>
      </c>
      <c r="C21" s="19">
        <f>C5+C7+C20</f>
        <v>179.04851</v>
      </c>
      <c r="D21" s="19">
        <f>D5+D7+D20</f>
        <v>181.1774951</v>
      </c>
      <c r="E21" s="19">
        <f>E5+E7+E20</f>
        <v>191.928869855</v>
      </c>
    </row>
    <row r="22" ht="20.05" customHeight="1">
      <c r="A22" t="s" s="20">
        <v>22</v>
      </c>
      <c r="B22" s="18"/>
      <c r="C22" s="19"/>
      <c r="D22" s="19"/>
      <c r="E22" s="19"/>
    </row>
    <row r="23" ht="20.05" customHeight="1">
      <c r="A23" t="s" s="11">
        <v>23</v>
      </c>
      <c r="B23" s="18">
        <f>'Balance sheet'!E14+'Balance sheet'!F14-B9</f>
        <v>7078.8</v>
      </c>
      <c r="C23" s="19">
        <f>B23-C9</f>
        <v>7107.6</v>
      </c>
      <c r="D23" s="19">
        <f>C23-D9</f>
        <v>7136.4</v>
      </c>
      <c r="E23" s="19">
        <f>D23-E9</f>
        <v>7165.2</v>
      </c>
    </row>
    <row r="24" ht="20.05" customHeight="1">
      <c r="A24" t="s" s="11">
        <v>24</v>
      </c>
      <c r="B24" s="18">
        <f>'Balance sheet'!F14-B20</f>
        <v>269.85</v>
      </c>
      <c r="C24" s="19">
        <f>B24-C20</f>
        <v>303.7</v>
      </c>
      <c r="D24" s="19">
        <f>C24-D20</f>
        <v>337.55</v>
      </c>
      <c r="E24" s="19">
        <f>D24-E20</f>
        <v>371.4</v>
      </c>
    </row>
    <row r="25" ht="20.05" customHeight="1">
      <c r="A25" t="s" s="11">
        <v>25</v>
      </c>
      <c r="B25" s="18">
        <f>B23-B24</f>
        <v>6808.95</v>
      </c>
      <c r="C25" s="19">
        <f>C23-C24</f>
        <v>6803.9</v>
      </c>
      <c r="D25" s="19">
        <f>D23-D24</f>
        <v>6798.85</v>
      </c>
      <c r="E25" s="19">
        <f>E23-E24</f>
        <v>6793.8</v>
      </c>
    </row>
    <row r="26" ht="20.05" customHeight="1">
      <c r="A26" t="s" s="11">
        <v>12</v>
      </c>
      <c r="B26" s="18">
        <f>'Balance sheet'!G14+B12</f>
        <v>2930.75</v>
      </c>
      <c r="C26" s="19">
        <f>B26+C12</f>
        <v>2784.2125</v>
      </c>
      <c r="D26" s="19">
        <f>C26+D12</f>
        <v>2645.001875</v>
      </c>
      <c r="E26" s="19">
        <f>D26+E12</f>
        <v>2512.75178125</v>
      </c>
    </row>
    <row r="27" ht="20.05" customHeight="1">
      <c r="A27" t="s" s="11">
        <v>15</v>
      </c>
      <c r="B27" s="18">
        <f>B15</f>
        <v>22.3607</v>
      </c>
      <c r="C27" s="19">
        <f>B27+C15</f>
        <v>38.514243</v>
      </c>
      <c r="D27" s="19">
        <f>C27+D15</f>
        <v>45.85062143</v>
      </c>
      <c r="E27" s="19">
        <f>D27+E15</f>
        <v>38.7005062815</v>
      </c>
    </row>
    <row r="28" ht="20.05" customHeight="1">
      <c r="A28" t="s" s="11">
        <v>13</v>
      </c>
      <c r="B28" s="18">
        <f>'Balance sheet'!H14+B21+B13</f>
        <v>3909.8393</v>
      </c>
      <c r="C28" s="19">
        <f>B28+C21+C13</f>
        <v>4035.173257</v>
      </c>
      <c r="D28" s="19">
        <f>C28+D21+D13</f>
        <v>4161.99750357</v>
      </c>
      <c r="E28" s="19">
        <f>D28+E21+E13</f>
        <v>4296.3477124685</v>
      </c>
    </row>
    <row r="29" ht="20.05" customHeight="1">
      <c r="A29" t="s" s="11">
        <v>26</v>
      </c>
      <c r="B29" s="18">
        <f>B26+B27+B28-B18-B25</f>
        <v>0</v>
      </c>
      <c r="C29" s="19">
        <f>C26+C27+C28-C18-C25</f>
        <v>0</v>
      </c>
      <c r="D29" s="19">
        <f>D26+D27+D28-D18-D25</f>
        <v>0</v>
      </c>
      <c r="E29" s="19">
        <f>E26+E27+E28-E18-E25</f>
        <v>0</v>
      </c>
    </row>
    <row r="30" ht="20.05" customHeight="1">
      <c r="A30" t="s" s="11">
        <v>27</v>
      </c>
      <c r="B30" s="18">
        <f>B18-B26-B27</f>
        <v>-2899.1107</v>
      </c>
      <c r="C30" s="19">
        <f>C18-C26-C27</f>
        <v>-2768.726743</v>
      </c>
      <c r="D30" s="19">
        <f>D18-D26-D27</f>
        <v>-2636.85249643</v>
      </c>
      <c r="E30" s="19">
        <f>E18-E26-E27</f>
        <v>-2497.4522875315</v>
      </c>
    </row>
    <row r="31" ht="20.05" customHeight="1">
      <c r="A31" t="s" s="20">
        <v>28</v>
      </c>
      <c r="B31" s="18"/>
      <c r="C31" s="19"/>
      <c r="D31" s="19"/>
      <c r="E31" s="19"/>
    </row>
    <row r="32" ht="20.05" customHeight="1">
      <c r="A32" t="s" s="11">
        <v>29</v>
      </c>
      <c r="B32" s="18">
        <f>'Cashflow'!M18-B11</f>
        <v>432.549</v>
      </c>
      <c r="C32" s="19">
        <f>B32-C11</f>
        <v>616.64751</v>
      </c>
      <c r="D32" s="19">
        <f>C32-D11</f>
        <v>802.8750051</v>
      </c>
      <c r="E32" s="19">
        <f>D32-E11</f>
        <v>999.853874955</v>
      </c>
    </row>
    <row r="33" ht="20.05" customHeight="1">
      <c r="A33" t="s" s="11">
        <v>30</v>
      </c>
      <c r="B33" s="18"/>
      <c r="C33" s="19"/>
      <c r="D33" s="19"/>
      <c r="E33" s="19">
        <v>3363</v>
      </c>
    </row>
    <row r="34" ht="20.05" customHeight="1">
      <c r="A34" t="s" s="11">
        <v>31</v>
      </c>
      <c r="B34" s="18"/>
      <c r="C34" s="19"/>
      <c r="D34" s="19"/>
      <c r="E34" s="22">
        <f>E33/(E18+E25)</f>
        <v>0.491106632787173</v>
      </c>
    </row>
    <row r="35" ht="20.05" customHeight="1">
      <c r="A35" t="s" s="11">
        <v>32</v>
      </c>
      <c r="B35" s="18"/>
      <c r="C35" s="19"/>
      <c r="D35" s="19"/>
      <c r="E35" s="17">
        <f>-(B13+C13+D13+E13)/E33</f>
        <v>0.0654196141797502</v>
      </c>
    </row>
    <row r="36" ht="20.05" customHeight="1">
      <c r="A36" t="s" s="11">
        <v>33</v>
      </c>
      <c r="B36" s="18"/>
      <c r="C36" s="19"/>
      <c r="D36" s="19"/>
      <c r="E36" s="19">
        <f>SUM(B8:E10)</f>
        <v>713.9538749549999</v>
      </c>
    </row>
    <row r="37" ht="20.05" customHeight="1">
      <c r="A37" t="s" s="11">
        <v>34</v>
      </c>
      <c r="B37" s="18"/>
      <c r="C37" s="19"/>
      <c r="D37" s="19"/>
      <c r="E37" s="19">
        <f>'Balance sheet'!E14/E36</f>
        <v>9.54403392015973</v>
      </c>
    </row>
    <row r="38" ht="20.05" customHeight="1">
      <c r="A38" t="s" s="11">
        <v>28</v>
      </c>
      <c r="B38" s="18"/>
      <c r="C38" s="19"/>
      <c r="D38" s="19"/>
      <c r="E38" s="19">
        <f>E33/E36</f>
        <v>4.71038832895468</v>
      </c>
    </row>
    <row r="39" ht="20.05" customHeight="1">
      <c r="A39" t="s" s="11">
        <v>35</v>
      </c>
      <c r="B39" s="18"/>
      <c r="C39" s="19"/>
      <c r="D39" s="19"/>
      <c r="E39" s="19">
        <v>8</v>
      </c>
    </row>
    <row r="40" ht="20.05" customHeight="1">
      <c r="A40" t="s" s="11">
        <v>36</v>
      </c>
      <c r="B40" s="18"/>
      <c r="C40" s="19"/>
      <c r="D40" s="19"/>
      <c r="E40" s="19">
        <f>E36*E39</f>
        <v>5711.63099964</v>
      </c>
    </row>
    <row r="41" ht="20.05" customHeight="1">
      <c r="A41" t="s" s="11">
        <v>37</v>
      </c>
      <c r="B41" s="18"/>
      <c r="C41" s="19"/>
      <c r="D41" s="19"/>
      <c r="E41" s="19">
        <f>E33/E43</f>
        <v>7.06512605042017</v>
      </c>
    </row>
    <row r="42" ht="20.05" customHeight="1">
      <c r="A42" t="s" s="11">
        <v>38</v>
      </c>
      <c r="B42" s="18"/>
      <c r="C42" s="19"/>
      <c r="D42" s="19"/>
      <c r="E42" s="19">
        <f>E40/E41</f>
        <v>808.425916095343</v>
      </c>
    </row>
    <row r="43" ht="20.05" customHeight="1">
      <c r="A43" t="s" s="11">
        <v>39</v>
      </c>
      <c r="B43" s="18"/>
      <c r="C43" s="19"/>
      <c r="D43" s="19"/>
      <c r="E43" s="19">
        <f>'Share price'!C50</f>
        <v>476</v>
      </c>
    </row>
    <row r="44" ht="20.05" customHeight="1">
      <c r="A44" t="s" s="11">
        <v>40</v>
      </c>
      <c r="B44" s="18"/>
      <c r="C44" s="19"/>
      <c r="D44" s="19"/>
      <c r="E44" s="17">
        <f>E42/E43-1</f>
        <v>0.698373773309544</v>
      </c>
    </row>
    <row r="45" ht="20.05" customHeight="1">
      <c r="A45" t="s" s="11">
        <v>41</v>
      </c>
      <c r="B45" s="18"/>
      <c r="C45" s="19"/>
      <c r="D45" s="19"/>
      <c r="E45" s="17">
        <f>'Sales'!C18/'Sales'!C14-1</f>
        <v>0.546857142857143</v>
      </c>
    </row>
    <row r="46" ht="20.05" customHeight="1">
      <c r="A46" t="s" s="11">
        <v>42</v>
      </c>
      <c r="B46" s="23"/>
      <c r="C46" s="24"/>
      <c r="D46" s="24"/>
      <c r="E46" s="17">
        <f>('Sales'!D17+'Sales'!D18)/('Sales'!C18+'Sales'!C17)-1</f>
        <v>-0.145085011104234</v>
      </c>
    </row>
  </sheetData>
  <mergeCells count="1">
    <mergeCell ref="A1:E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dimension ref="B3:H22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5.27344" style="25" customWidth="1"/>
    <col min="2" max="8" width="11.5781" style="25" customWidth="1"/>
    <col min="9" max="16384" width="16.3516" style="25" customWidth="1"/>
  </cols>
  <sheetData>
    <row r="1" ht="20.9" customHeight="1"/>
    <row r="2" ht="27.65" customHeight="1">
      <c r="B2" t="s" s="2">
        <v>5</v>
      </c>
      <c r="C2" s="2"/>
      <c r="D2" s="2"/>
      <c r="E2" s="2"/>
      <c r="F2" s="2"/>
      <c r="G2" s="2"/>
      <c r="H2" s="2"/>
    </row>
    <row r="3" ht="32.25" customHeight="1">
      <c r="B3" t="s" s="4">
        <v>1</v>
      </c>
      <c r="C3" t="s" s="4">
        <v>5</v>
      </c>
      <c r="D3" t="s" s="4">
        <v>35</v>
      </c>
      <c r="E3" t="s" s="4">
        <v>43</v>
      </c>
      <c r="F3" t="s" s="4">
        <v>6</v>
      </c>
      <c r="G3" t="s" s="4">
        <v>44</v>
      </c>
      <c r="H3" t="s" s="4">
        <v>44</v>
      </c>
    </row>
    <row r="4" ht="20.25" customHeight="1">
      <c r="B4" s="26">
        <v>2018</v>
      </c>
      <c r="C4" s="27">
        <v>1121</v>
      </c>
      <c r="D4" s="28"/>
      <c r="E4" s="29"/>
      <c r="F4" s="29">
        <f>('Cashflow'!C4+'Cashflow'!D4-C4)/C4</f>
        <v>-0.963648528099911</v>
      </c>
      <c r="G4" s="29"/>
      <c r="H4" s="29">
        <f>('Cashflow'!F4-'Cashflow'!E4)/'Cashflow'!E4</f>
        <v>-1.10464058234759</v>
      </c>
    </row>
    <row r="5" ht="20.05" customHeight="1">
      <c r="B5" s="30"/>
      <c r="C5" s="14">
        <v>962</v>
      </c>
      <c r="D5" s="15"/>
      <c r="E5" s="17">
        <f>C5/C4-1</f>
        <v>-0.141837644959857</v>
      </c>
      <c r="F5" s="17">
        <f>('Cashflow'!C5+'Cashflow'!D5-C5)/C5</f>
        <v>-0.969074844074844</v>
      </c>
      <c r="G5" s="17"/>
      <c r="H5" s="17">
        <f>('Cashflow'!F5-'Cashflow'!E5)/'Cashflow'!E5</f>
        <v>-1.18663194444444</v>
      </c>
    </row>
    <row r="6" ht="20.05" customHeight="1">
      <c r="B6" s="30"/>
      <c r="C6" s="14">
        <v>1303</v>
      </c>
      <c r="D6" s="15"/>
      <c r="E6" s="17">
        <f>C6/C5-1</f>
        <v>0.354469854469854</v>
      </c>
      <c r="F6" s="17">
        <f>('Cashflow'!C6+'Cashflow'!D6-C6)/C6</f>
        <v>-0.975633154259401</v>
      </c>
      <c r="G6" s="17"/>
      <c r="H6" s="17">
        <f>('Cashflow'!F6-'Cashflow'!E6)/'Cashflow'!E6</f>
        <v>-1.08816880180859</v>
      </c>
    </row>
    <row r="7" ht="20.05" customHeight="1">
      <c r="B7" s="30"/>
      <c r="C7" s="14">
        <v>1082</v>
      </c>
      <c r="D7" s="15"/>
      <c r="E7" s="17">
        <f>C7/C6-1</f>
        <v>-0.169608595548734</v>
      </c>
      <c r="F7" s="17">
        <f>('Cashflow'!C7+'Cashflow'!D7-C7)/C7</f>
        <v>-0.942929759704251</v>
      </c>
      <c r="G7" s="17"/>
      <c r="H7" s="17">
        <f>('Cashflow'!F7-'Cashflow'!E7)/'Cashflow'!E7</f>
        <v>-0.947406866325785</v>
      </c>
    </row>
    <row r="8" ht="20.05" customHeight="1">
      <c r="B8" s="31">
        <v>2019</v>
      </c>
      <c r="C8" s="14">
        <v>1230</v>
      </c>
      <c r="D8" s="15"/>
      <c r="E8" s="17">
        <f>C8/C7-1</f>
        <v>0.136783733826248</v>
      </c>
      <c r="F8" s="17">
        <f>('Cashflow'!C8+'Cashflow'!D8-C8)/C8</f>
        <v>-0.960365853658537</v>
      </c>
      <c r="G8" s="17">
        <f>AVERAGE(H5:H8)</f>
        <v>-1.0217386396194</v>
      </c>
      <c r="H8" s="17">
        <f>('Cashflow'!F8-'Cashflow'!E8)/'Cashflow'!E8</f>
        <v>-0.864746945898778</v>
      </c>
    </row>
    <row r="9" ht="20.05" customHeight="1">
      <c r="B9" s="30"/>
      <c r="C9" s="14">
        <v>1061</v>
      </c>
      <c r="D9" s="32"/>
      <c r="E9" s="17">
        <f>C9/C8-1</f>
        <v>-0.13739837398374</v>
      </c>
      <c r="F9" s="17">
        <f>('Cashflow'!C9+'Cashflow'!D9-C9)/C9</f>
        <v>-0.9465127238454289</v>
      </c>
      <c r="G9" s="17">
        <f>AVERAGE(H6:H9)</f>
        <v>-0.990017760426528</v>
      </c>
      <c r="H9" s="17">
        <f>('Cashflow'!F9-'Cashflow'!E9)/'Cashflow'!E9</f>
        <v>-1.05974842767296</v>
      </c>
    </row>
    <row r="10" ht="20.05" customHeight="1">
      <c r="B10" s="30"/>
      <c r="C10" s="14">
        <v>1319</v>
      </c>
      <c r="D10" s="32"/>
      <c r="E10" s="17">
        <f>C10/C9-1</f>
        <v>0.243166823751178</v>
      </c>
      <c r="F10" s="17">
        <f>('Cashflow'!C10+'Cashflow'!D10-C10)/C10</f>
        <v>-0.926648976497346</v>
      </c>
      <c r="G10" s="17">
        <f>AVERAGE(H7:H10)</f>
        <v>-0.9888244058418409</v>
      </c>
      <c r="H10" s="17">
        <f>('Cashflow'!F10-'Cashflow'!E10)/'Cashflow'!E10</f>
        <v>-1.08339538346984</v>
      </c>
    </row>
    <row r="11" ht="20.05" customHeight="1">
      <c r="B11" s="30"/>
      <c r="C11" s="14">
        <v>1276</v>
      </c>
      <c r="D11" s="32"/>
      <c r="E11" s="17">
        <f>C11/C10-1</f>
        <v>-0.0326004548900682</v>
      </c>
      <c r="F11" s="17">
        <f>('Cashflow'!C11+'Cashflow'!D11-C11)/C11</f>
        <v>-0.928879310344828</v>
      </c>
      <c r="G11" s="17">
        <f>AVERAGE(H8:H11)</f>
        <v>-0.9162683172964809</v>
      </c>
      <c r="H11" s="17">
        <f>('Cashflow'!F11-'Cashflow'!E11)/'Cashflow'!E11</f>
        <v>-0.657182512144344</v>
      </c>
    </row>
    <row r="12" ht="20.05" customHeight="1">
      <c r="B12" s="31">
        <v>2020</v>
      </c>
      <c r="C12" s="14">
        <v>1051</v>
      </c>
      <c r="D12" s="32"/>
      <c r="E12" s="17">
        <f>C12/C11-1</f>
        <v>-0.176332288401254</v>
      </c>
      <c r="F12" s="17">
        <f>('Cashflow'!C12+'Cashflow'!D12-C12)/C12</f>
        <v>-1.04709800190295</v>
      </c>
      <c r="G12" s="17">
        <f>AVERAGE(H9:H12)</f>
        <v>-0.990897907352399</v>
      </c>
      <c r="H12" s="17">
        <f>('Cashflow'!F12-'Cashflow'!E12)/'Cashflow'!E12</f>
        <v>-1.16326530612245</v>
      </c>
    </row>
    <row r="13" ht="20.05" customHeight="1">
      <c r="B13" s="30"/>
      <c r="C13" s="14">
        <v>615</v>
      </c>
      <c r="D13" s="32"/>
      <c r="E13" s="17">
        <f>C13/C12-1</f>
        <v>-0.414843006660324</v>
      </c>
      <c r="F13" s="17">
        <f>('Cashflow'!C13+'Cashflow'!D13-C13)/C13</f>
        <v>-0.832357723577236</v>
      </c>
      <c r="G13" s="17">
        <f>AVERAGE(H10:H13)</f>
        <v>-0.92705401102104</v>
      </c>
      <c r="H13" s="17">
        <f>('Cashflow'!F13-'Cashflow'!E13)/'Cashflow'!E13</f>
        <v>-0.804372842347526</v>
      </c>
    </row>
    <row r="14" ht="20.05" customHeight="1">
      <c r="B14" s="30"/>
      <c r="C14" s="14">
        <v>1050</v>
      </c>
      <c r="D14" s="32"/>
      <c r="E14" s="17">
        <f>C14/C13-1</f>
        <v>0.707317073170732</v>
      </c>
      <c r="F14" s="17">
        <f>('Cashflow'!C14+'Cashflow'!D14-C14)/C14</f>
        <v>-0.93152380952381</v>
      </c>
      <c r="G14" s="17">
        <f>AVERAGE(H11:H14)</f>
        <v>-0.92816066866646</v>
      </c>
      <c r="H14" s="17">
        <f>('Cashflow'!F14-'Cashflow'!E14)/'Cashflow'!E14</f>
        <v>-1.08782201405152</v>
      </c>
    </row>
    <row r="15" ht="20.05" customHeight="1">
      <c r="B15" s="30"/>
      <c r="C15" s="14">
        <v>1060</v>
      </c>
      <c r="D15" s="32"/>
      <c r="E15" s="17">
        <f>C15/C14-1</f>
        <v>0.009523809523809519</v>
      </c>
      <c r="F15" s="17">
        <f>('Cashflow'!C15+'Cashflow'!D15-C15)/C15</f>
        <v>-0.856132075471698</v>
      </c>
      <c r="G15" s="17">
        <f>AVERAGE(H12:H15)</f>
        <v>-0.919030154940281</v>
      </c>
      <c r="H15" s="17">
        <f>('Cashflow'!F15-'Cashflow'!E15)/'Cashflow'!E15</f>
        <v>-0.620660457239627</v>
      </c>
    </row>
    <row r="16" ht="20.05" customHeight="1">
      <c r="B16" s="31">
        <v>2021</v>
      </c>
      <c r="C16" s="14">
        <v>1068</v>
      </c>
      <c r="D16" s="32"/>
      <c r="E16" s="17">
        <f>C16/C15-1</f>
        <v>0.00754716981132075</v>
      </c>
      <c r="F16" s="17">
        <f>('Cashflow'!C16+'Cashflow'!D16-C16)/C16</f>
        <v>-0.875468164794007</v>
      </c>
      <c r="G16" s="17">
        <f>AVERAGE(H13:H16)</f>
        <v>-0.781120315351539</v>
      </c>
      <c r="H16" s="17">
        <f>('Cashflow'!F16-'Cashflow'!E16)/'Cashflow'!E16</f>
        <v>-0.611625947767481</v>
      </c>
    </row>
    <row r="17" ht="20.05" customHeight="1">
      <c r="B17" s="30"/>
      <c r="C17" s="14">
        <f>2190.5-C16</f>
        <v>1122.5</v>
      </c>
      <c r="D17" s="15">
        <v>1057.32</v>
      </c>
      <c r="E17" s="17">
        <f>C17/C16-1</f>
        <v>0.0510299625468165</v>
      </c>
      <c r="F17" s="17">
        <f>('Cashflow'!C17+'Cashflow'!D17-C17)/C17</f>
        <v>-0.837416481069042</v>
      </c>
      <c r="G17" s="17">
        <f>AVERAGE(H14:H17)</f>
        <v>-0.887923256542827</v>
      </c>
      <c r="H17" s="17">
        <f>('Cashflow'!F17-'Cashflow'!E17)/'Cashflow'!E17</f>
        <v>-1.23158460711268</v>
      </c>
    </row>
    <row r="18" ht="20.05" customHeight="1">
      <c r="B18" s="30"/>
      <c r="C18" s="14">
        <f>3814.7-SUM(C16:C17)</f>
        <v>1624.2</v>
      </c>
      <c r="D18" s="15">
        <v>1290.875</v>
      </c>
      <c r="E18" s="17">
        <f>C18/C17-1</f>
        <v>0.446948775055679</v>
      </c>
      <c r="F18" s="17">
        <f>('Cashflow'!C18+'Cashflow'!D18-C18)/C18</f>
        <v>-0.863502031769487</v>
      </c>
      <c r="G18" s="17">
        <f>AVERAGE(H15:H18)</f>
        <v>-0.897148639029545</v>
      </c>
      <c r="H18" s="17">
        <f>('Cashflow'!F18-'Cashflow'!E18)/'Cashflow'!E18</f>
        <v>-1.12472354399839</v>
      </c>
    </row>
    <row r="19" ht="20.05" customHeight="1">
      <c r="B19" s="30"/>
      <c r="C19" s="14"/>
      <c r="D19" s="15">
        <f>'Mode'!B5</f>
        <v>1575.474</v>
      </c>
      <c r="E19" s="17"/>
      <c r="F19" s="17">
        <f>'Mode'!B6</f>
        <v>-0.863502031769487</v>
      </c>
      <c r="G19" s="21"/>
      <c r="H19" s="21"/>
    </row>
    <row r="20" ht="20.05" customHeight="1">
      <c r="B20" s="31">
        <v>2022</v>
      </c>
      <c r="C20" s="14"/>
      <c r="D20" s="15">
        <f>'Mode'!C5</f>
        <v>1559.71926</v>
      </c>
      <c r="E20" s="17"/>
      <c r="F20" s="17"/>
      <c r="G20" s="21"/>
      <c r="H20" s="21"/>
    </row>
    <row r="21" ht="20.05" customHeight="1">
      <c r="B21" s="30"/>
      <c r="C21" s="14"/>
      <c r="D21" s="15">
        <f>'Mode'!D5</f>
        <v>1575.3164526</v>
      </c>
      <c r="E21" s="17"/>
      <c r="F21" s="17"/>
      <c r="G21" s="21"/>
      <c r="H21" s="21"/>
    </row>
    <row r="22" ht="20.05" customHeight="1">
      <c r="B22" s="30"/>
      <c r="C22" s="14"/>
      <c r="D22" s="15">
        <f>'Mode'!E5</f>
        <v>1654.08227523</v>
      </c>
      <c r="E22" s="17"/>
      <c r="F22" s="17"/>
      <c r="G22" s="21"/>
      <c r="H22" s="21"/>
    </row>
  </sheetData>
  <mergeCells count="1">
    <mergeCell ref="B2:H2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M19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2.69531" style="33" customWidth="1"/>
    <col min="2" max="13" width="10.0625" style="33" customWidth="1"/>
    <col min="14" max="16384" width="16.3516" style="33" customWidth="1"/>
  </cols>
  <sheetData>
    <row r="1" ht="16.15" customHeight="1"/>
    <row r="2" ht="27.65" customHeight="1">
      <c r="B2" t="s" s="2">
        <v>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32.25" customHeight="1">
      <c r="B3" t="s" s="4">
        <v>1</v>
      </c>
      <c r="C3" t="s" s="4">
        <v>21</v>
      </c>
      <c r="D3" t="s" s="4">
        <v>45</v>
      </c>
      <c r="E3" t="s" s="4">
        <v>46</v>
      </c>
      <c r="F3" t="s" s="4">
        <v>8</v>
      </c>
      <c r="G3" t="s" s="4">
        <v>9</v>
      </c>
      <c r="H3" t="s" s="4">
        <v>10</v>
      </c>
      <c r="I3" t="s" s="4">
        <v>12</v>
      </c>
      <c r="J3" t="s" s="4">
        <v>13</v>
      </c>
      <c r="K3" t="s" s="4">
        <v>47</v>
      </c>
      <c r="L3" t="s" s="4">
        <v>33</v>
      </c>
      <c r="M3" t="s" s="4">
        <v>29</v>
      </c>
    </row>
    <row r="4" ht="20.25" customHeight="1">
      <c r="B4" s="26">
        <v>2018</v>
      </c>
      <c r="C4" s="34">
        <v>12</v>
      </c>
      <c r="D4" s="35">
        <v>28.75</v>
      </c>
      <c r="E4" s="35">
        <v>1099</v>
      </c>
      <c r="F4" s="35">
        <v>-115</v>
      </c>
      <c r="G4" s="35">
        <v>-9</v>
      </c>
      <c r="H4" s="35">
        <v>0.5</v>
      </c>
      <c r="I4" s="35">
        <v>127.1</v>
      </c>
      <c r="J4" s="35"/>
      <c r="K4" s="35">
        <f>F4+G4+H4</f>
        <v>-123.5</v>
      </c>
      <c r="L4" s="35"/>
      <c r="M4" s="35">
        <f>-(I4+J4)</f>
        <v>-127.1</v>
      </c>
    </row>
    <row r="5" ht="20.05" customHeight="1">
      <c r="B5" s="30"/>
      <c r="C5" s="23">
        <v>1</v>
      </c>
      <c r="D5" s="24">
        <v>28.75</v>
      </c>
      <c r="E5" s="24">
        <v>1152</v>
      </c>
      <c r="F5" s="24">
        <v>-215</v>
      </c>
      <c r="G5" s="24">
        <v>-12</v>
      </c>
      <c r="H5" s="24">
        <v>0.5</v>
      </c>
      <c r="I5" s="24">
        <v>127.1</v>
      </c>
      <c r="J5" s="24"/>
      <c r="K5" s="24">
        <f>F5+G5+H5</f>
        <v>-226.5</v>
      </c>
      <c r="L5" s="24">
        <f>AVERAGE(K3:K5)</f>
        <v>-175</v>
      </c>
      <c r="M5" s="24">
        <f>-(I5+J5)+M4</f>
        <v>-254.2</v>
      </c>
    </row>
    <row r="6" ht="20.05" customHeight="1">
      <c r="B6" s="30"/>
      <c r="C6" s="23">
        <v>3</v>
      </c>
      <c r="D6" s="24">
        <v>28.75</v>
      </c>
      <c r="E6" s="24">
        <v>1327</v>
      </c>
      <c r="F6" s="24">
        <v>-117</v>
      </c>
      <c r="G6" s="24">
        <v>-18</v>
      </c>
      <c r="H6" s="24">
        <v>0.5</v>
      </c>
      <c r="I6" s="24">
        <v>127.1</v>
      </c>
      <c r="J6" s="24"/>
      <c r="K6" s="24">
        <f>F6+G6+H6</f>
        <v>-134.5</v>
      </c>
      <c r="L6" s="24">
        <f>AVERAGE(K3:K6)</f>
        <v>-161.5</v>
      </c>
      <c r="M6" s="24">
        <f>-(I6+J6)+M5</f>
        <v>-381.3</v>
      </c>
    </row>
    <row r="7" ht="20.05" customHeight="1">
      <c r="B7" s="30"/>
      <c r="C7" s="23">
        <v>33</v>
      </c>
      <c r="D7" s="24">
        <v>28.75</v>
      </c>
      <c r="E7" s="24">
        <v>1369</v>
      </c>
      <c r="F7" s="24">
        <v>72</v>
      </c>
      <c r="G7" s="24">
        <v>-36</v>
      </c>
      <c r="H7" s="24">
        <v>0.5</v>
      </c>
      <c r="I7" s="24">
        <v>127.1</v>
      </c>
      <c r="J7" s="24"/>
      <c r="K7" s="24">
        <f>F7+G7+H7</f>
        <v>36.5</v>
      </c>
      <c r="L7" s="24">
        <f>AVERAGE(K4:K7)</f>
        <v>-112</v>
      </c>
      <c r="M7" s="24">
        <f>-(I7+J7)+M6</f>
        <v>-508.4</v>
      </c>
    </row>
    <row r="8" ht="20.05" customHeight="1">
      <c r="B8" s="31">
        <v>2019</v>
      </c>
      <c r="C8" s="23">
        <v>22</v>
      </c>
      <c r="D8" s="24">
        <v>26.75</v>
      </c>
      <c r="E8" s="24">
        <v>1146</v>
      </c>
      <c r="F8" s="24">
        <v>155</v>
      </c>
      <c r="G8" s="24">
        <v>-8.4</v>
      </c>
      <c r="H8" s="24">
        <v>-2.35</v>
      </c>
      <c r="I8" s="24">
        <v>-81.47499999999999</v>
      </c>
      <c r="J8" s="24"/>
      <c r="K8" s="24">
        <f>F8+G8+H8</f>
        <v>144.25</v>
      </c>
      <c r="L8" s="24">
        <f>AVERAGE(K5:K8)</f>
        <v>-45.0625</v>
      </c>
      <c r="M8" s="24">
        <f>-(I8+J8)+M7</f>
        <v>-426.925</v>
      </c>
    </row>
    <row r="9" ht="20.05" customHeight="1">
      <c r="B9" s="30"/>
      <c r="C9" s="23">
        <v>30</v>
      </c>
      <c r="D9" s="24">
        <v>26.75</v>
      </c>
      <c r="E9" s="24">
        <v>1272</v>
      </c>
      <c r="F9" s="24">
        <v>-76</v>
      </c>
      <c r="G9" s="24">
        <v>-31.6</v>
      </c>
      <c r="H9" s="24">
        <v>-2.35</v>
      </c>
      <c r="I9" s="24">
        <v>-81.47499999999999</v>
      </c>
      <c r="J9" s="24"/>
      <c r="K9" s="24">
        <f>F9+G9+H9</f>
        <v>-109.95</v>
      </c>
      <c r="L9" s="24">
        <f>AVERAGE(K6:K9)</f>
        <v>-15.925</v>
      </c>
      <c r="M9" s="24">
        <f>-(I9+J9)+M8</f>
        <v>-345.45</v>
      </c>
    </row>
    <row r="10" ht="20.05" customHeight="1">
      <c r="B10" s="30"/>
      <c r="C10" s="23">
        <v>70</v>
      </c>
      <c r="D10" s="24">
        <v>26.75</v>
      </c>
      <c r="E10" s="24">
        <v>1343</v>
      </c>
      <c r="F10" s="24">
        <v>-112</v>
      </c>
      <c r="G10" s="24">
        <v>-12</v>
      </c>
      <c r="H10" s="24">
        <v>-2.35</v>
      </c>
      <c r="I10" s="24">
        <v>-81.47499999999999</v>
      </c>
      <c r="J10" s="24"/>
      <c r="K10" s="24">
        <f>F10+G10+H10</f>
        <v>-126.35</v>
      </c>
      <c r="L10" s="24">
        <f>AVERAGE(K7:K10)</f>
        <v>-13.8875</v>
      </c>
      <c r="M10" s="24">
        <f>-(I10+J10)+M9</f>
        <v>-263.975</v>
      </c>
    </row>
    <row r="11" ht="20.05" customHeight="1">
      <c r="B11" s="30"/>
      <c r="C11" s="23">
        <v>64</v>
      </c>
      <c r="D11" s="24">
        <v>26.75</v>
      </c>
      <c r="E11" s="24">
        <v>1441</v>
      </c>
      <c r="F11" s="24">
        <v>494</v>
      </c>
      <c r="G11" s="24">
        <v>-87</v>
      </c>
      <c r="H11" s="24">
        <v>-2.35</v>
      </c>
      <c r="I11" s="24">
        <v>-81.47499999999999</v>
      </c>
      <c r="J11" s="24"/>
      <c r="K11" s="24">
        <f>F11+G11+H11</f>
        <v>404.65</v>
      </c>
      <c r="L11" s="24">
        <f>AVERAGE(K8:K11)</f>
        <v>78.15000000000001</v>
      </c>
      <c r="M11" s="24">
        <f>-(I11+J11)+M10</f>
        <v>-182.5</v>
      </c>
    </row>
    <row r="12" ht="20.05" customHeight="1">
      <c r="B12" s="31">
        <v>2020</v>
      </c>
      <c r="C12" s="23">
        <v>-75</v>
      </c>
      <c r="D12" s="24">
        <v>25.5</v>
      </c>
      <c r="E12" s="24">
        <v>1176</v>
      </c>
      <c r="F12" s="24">
        <v>-192</v>
      </c>
      <c r="G12" s="24">
        <v>-25</v>
      </c>
      <c r="H12" s="24">
        <v>-2.275</v>
      </c>
      <c r="I12" s="24">
        <v>-108.675</v>
      </c>
      <c r="J12" s="24"/>
      <c r="K12" s="24">
        <f>F12+G12+H12</f>
        <v>-219.275</v>
      </c>
      <c r="L12" s="24">
        <f>AVERAGE(K9:K12)</f>
        <v>-12.73125</v>
      </c>
      <c r="M12" s="24">
        <f>-(I12+J12)+M11</f>
        <v>-73.825</v>
      </c>
    </row>
    <row r="13" ht="20.05" customHeight="1">
      <c r="B13" s="30"/>
      <c r="C13" s="23">
        <v>77.59999999999999</v>
      </c>
      <c r="D13" s="24">
        <v>25.5</v>
      </c>
      <c r="E13" s="24">
        <v>869</v>
      </c>
      <c r="F13" s="24">
        <v>170</v>
      </c>
      <c r="G13" s="24">
        <v>-13</v>
      </c>
      <c r="H13" s="24">
        <v>-2.275</v>
      </c>
      <c r="I13" s="24">
        <v>-108.675</v>
      </c>
      <c r="J13" s="24"/>
      <c r="K13" s="24">
        <f>F13+G13+H13</f>
        <v>154.725</v>
      </c>
      <c r="L13" s="24">
        <f>AVERAGE(K10:K13)</f>
        <v>53.4375</v>
      </c>
      <c r="M13" s="24">
        <f>-(I13+J13)+M12</f>
        <v>34.85</v>
      </c>
    </row>
    <row r="14" ht="20.05" customHeight="1">
      <c r="B14" s="30"/>
      <c r="C14" s="23">
        <v>46.4</v>
      </c>
      <c r="D14" s="24">
        <v>25.5</v>
      </c>
      <c r="E14" s="24">
        <v>854</v>
      </c>
      <c r="F14" s="24">
        <v>-75</v>
      </c>
      <c r="G14" s="24">
        <v>-22</v>
      </c>
      <c r="H14" s="24">
        <v>-2.275</v>
      </c>
      <c r="I14" s="24">
        <v>-108.675</v>
      </c>
      <c r="J14" s="24"/>
      <c r="K14" s="24">
        <f>F14+G14+H14</f>
        <v>-99.27500000000001</v>
      </c>
      <c r="L14" s="24">
        <f>AVERAGE(K11:K14)</f>
        <v>60.20625</v>
      </c>
      <c r="M14" s="24">
        <f>-(I14+J14)+M13</f>
        <v>143.525</v>
      </c>
    </row>
    <row r="15" ht="20.05" customHeight="1">
      <c r="B15" s="30"/>
      <c r="C15" s="23">
        <v>127</v>
      </c>
      <c r="D15" s="24">
        <v>25.5</v>
      </c>
      <c r="E15" s="24">
        <v>1181</v>
      </c>
      <c r="F15" s="24">
        <v>448</v>
      </c>
      <c r="G15" s="24">
        <v>-6</v>
      </c>
      <c r="H15" s="24">
        <v>-2.275</v>
      </c>
      <c r="I15" s="24">
        <v>-108.675</v>
      </c>
      <c r="J15" s="24"/>
      <c r="K15" s="24">
        <f>F15+G15+H15</f>
        <v>439.725</v>
      </c>
      <c r="L15" s="24">
        <f>AVERAGE(K12:K15)</f>
        <v>68.97499999999999</v>
      </c>
      <c r="M15" s="24">
        <f>-(I15+J15)+M14</f>
        <v>252.2</v>
      </c>
    </row>
    <row r="16" ht="20.05" customHeight="1">
      <c r="B16" s="31">
        <v>2021</v>
      </c>
      <c r="C16" s="23">
        <v>109</v>
      </c>
      <c r="D16" s="24">
        <v>24</v>
      </c>
      <c r="E16" s="24">
        <v>1187</v>
      </c>
      <c r="F16" s="24">
        <v>461</v>
      </c>
      <c r="G16" s="24">
        <v>-14</v>
      </c>
      <c r="H16" s="24"/>
      <c r="I16" s="24">
        <v>-469</v>
      </c>
      <c r="J16" s="24"/>
      <c r="K16" s="24">
        <f>F16+G16+H16</f>
        <v>447</v>
      </c>
      <c r="L16" s="24">
        <f>AVERAGE(K13:K16)</f>
        <v>235.54375</v>
      </c>
      <c r="M16" s="24">
        <f>-(I16+J16)+M15</f>
        <v>721.2</v>
      </c>
    </row>
    <row r="17" ht="20.05" customHeight="1">
      <c r="B17" s="30"/>
      <c r="C17" s="23">
        <f>254.2-C16</f>
        <v>145.2</v>
      </c>
      <c r="D17" s="24">
        <f>57.6+(81.8-78.1)-D16</f>
        <v>37.3</v>
      </c>
      <c r="E17" s="24">
        <f>2488.9-E16</f>
        <v>1301.9</v>
      </c>
      <c r="F17" s="24">
        <f>159.5-F16</f>
        <v>-301.5</v>
      </c>
      <c r="G17" s="24">
        <f>63.7-G16</f>
        <v>77.7</v>
      </c>
      <c r="H17" s="24">
        <f>26.5-1.7</f>
        <v>24.8</v>
      </c>
      <c r="I17" s="24">
        <f>-178.2-93.1-I16</f>
        <v>197.7</v>
      </c>
      <c r="J17" s="24"/>
      <c r="K17" s="24">
        <f>F17+G17+H17</f>
        <v>-199</v>
      </c>
      <c r="L17" s="24">
        <f>AVERAGE(K14:K17)</f>
        <v>147.1125</v>
      </c>
      <c r="M17" s="24">
        <f>-(I17+J17)+M16</f>
        <v>523.5</v>
      </c>
    </row>
    <row r="18" ht="20.05" customHeight="1">
      <c r="B18" s="30"/>
      <c r="C18" s="23">
        <f>445.5-SUM(C16:C17)</f>
        <v>191.3</v>
      </c>
      <c r="D18" s="24">
        <f>86.4+(83.4-78.1)-SUM(D16:D17)</f>
        <v>30.4</v>
      </c>
      <c r="E18" s="24">
        <f>3981-SUM(E16:E17)</f>
        <v>1492.1</v>
      </c>
      <c r="F18" s="24">
        <f>-26.6-SUM(F16:F17)</f>
        <v>-186.1</v>
      </c>
      <c r="G18" s="24">
        <f>34.9-SUM(G16:G17)</f>
        <v>-28.8</v>
      </c>
      <c r="H18" s="24">
        <f>26.5-3.9-42.4-H17-H16</f>
        <v>-44.6</v>
      </c>
      <c r="I18" s="24">
        <f>139.9-134-I17-I16</f>
        <v>277.2</v>
      </c>
      <c r="J18" s="24"/>
      <c r="K18" s="24">
        <f>F18+G18+H18</f>
        <v>-259.5</v>
      </c>
      <c r="L18" s="24">
        <f>AVERAGE(K15:K18)</f>
        <v>107.05625</v>
      </c>
      <c r="M18" s="24">
        <f>-(I18+J18)+M17</f>
        <v>246.3</v>
      </c>
    </row>
    <row r="19" ht="20.05" customHeight="1">
      <c r="B19" s="30"/>
      <c r="C19" s="23"/>
      <c r="D19" s="24"/>
      <c r="E19" s="24"/>
      <c r="F19" s="24"/>
      <c r="G19" s="24"/>
      <c r="H19" s="24"/>
      <c r="I19" s="24"/>
      <c r="J19" s="24"/>
      <c r="K19" s="24"/>
      <c r="L19" s="24">
        <f>SUM('Mode'!E8:E10)</f>
        <v>187.078869855</v>
      </c>
      <c r="M19" s="24">
        <f>'Mode'!E32</f>
        <v>999.853874955</v>
      </c>
    </row>
  </sheetData>
  <mergeCells count="1">
    <mergeCell ref="B2:M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15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4.63281" style="36" customWidth="1"/>
    <col min="2" max="2" width="9.86719" style="36" customWidth="1"/>
    <col min="3" max="11" width="8.875" style="36" customWidth="1"/>
    <col min="12" max="16384" width="16.3516" style="36" customWidth="1"/>
  </cols>
  <sheetData>
    <row r="1" ht="20" customHeight="1"/>
    <row r="2" ht="27.65" customHeight="1">
      <c r="B2" t="s" s="2">
        <v>22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4">
        <v>1</v>
      </c>
      <c r="C3" t="s" s="4">
        <v>48</v>
      </c>
      <c r="D3" t="s" s="4">
        <v>49</v>
      </c>
      <c r="E3" t="s" s="4">
        <v>50</v>
      </c>
      <c r="F3" t="s" s="4">
        <v>24</v>
      </c>
      <c r="G3" t="s" s="4">
        <v>12</v>
      </c>
      <c r="H3" t="s" s="4">
        <v>13</v>
      </c>
      <c r="I3" t="s" s="4">
        <v>51</v>
      </c>
      <c r="J3" t="s" s="4">
        <v>27</v>
      </c>
      <c r="K3" t="s" s="4">
        <v>35</v>
      </c>
    </row>
    <row r="4" ht="20.25" customHeight="1">
      <c r="B4" s="26">
        <v>2019</v>
      </c>
      <c r="C4" s="34">
        <v>214</v>
      </c>
      <c r="D4" s="35">
        <v>6455</v>
      </c>
      <c r="E4" s="35">
        <f>D4-C4</f>
        <v>6241</v>
      </c>
      <c r="F4" s="35"/>
      <c r="G4" s="35">
        <v>3518</v>
      </c>
      <c r="H4" s="35">
        <v>2937</v>
      </c>
      <c r="I4" s="35">
        <f>G4+H4-C4-E4</f>
        <v>0</v>
      </c>
      <c r="J4" s="35">
        <f>C4-G4</f>
        <v>-3304</v>
      </c>
      <c r="K4" s="35"/>
    </row>
    <row r="5" ht="20.05" customHeight="1">
      <c r="B5" s="30"/>
      <c r="C5" s="23">
        <v>223</v>
      </c>
      <c r="D5" s="24">
        <v>6700</v>
      </c>
      <c r="E5" s="24">
        <f>D5-C5</f>
        <v>6477</v>
      </c>
      <c r="F5" s="24"/>
      <c r="G5" s="24">
        <v>3732</v>
      </c>
      <c r="H5" s="24">
        <v>2968</v>
      </c>
      <c r="I5" s="24">
        <f>G5+H5-C5-E5</f>
        <v>0</v>
      </c>
      <c r="J5" s="24">
        <f>C5-G5</f>
        <v>-3509</v>
      </c>
      <c r="K5" s="24"/>
    </row>
    <row r="6" ht="20.05" customHeight="1">
      <c r="B6" s="30"/>
      <c r="C6" s="23">
        <v>225</v>
      </c>
      <c r="D6" s="24">
        <v>6746</v>
      </c>
      <c r="E6" s="24">
        <f>D6-C6</f>
        <v>6521</v>
      </c>
      <c r="F6" s="24"/>
      <c r="G6" s="24">
        <v>3709</v>
      </c>
      <c r="H6" s="24">
        <v>3038</v>
      </c>
      <c r="I6" s="24">
        <f>G6+H6-C6-E6</f>
        <v>1</v>
      </c>
      <c r="J6" s="24">
        <f>C6-G6</f>
        <v>-3484</v>
      </c>
      <c r="K6" s="24"/>
    </row>
    <row r="7" ht="20.05" customHeight="1">
      <c r="B7" s="30"/>
      <c r="C7" s="23">
        <v>219</v>
      </c>
      <c r="D7" s="24">
        <v>6425</v>
      </c>
      <c r="E7" s="24">
        <f>D7-C7</f>
        <v>6206</v>
      </c>
      <c r="F7" s="24"/>
      <c r="G7" s="24">
        <v>3326</v>
      </c>
      <c r="H7" s="24">
        <v>3099</v>
      </c>
      <c r="I7" s="24">
        <f>G7+H7-C7-E7</f>
        <v>0</v>
      </c>
      <c r="J7" s="24">
        <f>C7-G7</f>
        <v>-3107</v>
      </c>
      <c r="K7" s="24"/>
    </row>
    <row r="8" ht="20.05" customHeight="1">
      <c r="B8" s="31">
        <v>2020</v>
      </c>
      <c r="C8" s="23">
        <v>24</v>
      </c>
      <c r="D8" s="24">
        <v>6380</v>
      </c>
      <c r="E8" s="24">
        <f>D8-C8</f>
        <v>6356</v>
      </c>
      <c r="F8" s="24"/>
      <c r="G8" s="24">
        <v>3357</v>
      </c>
      <c r="H8" s="24">
        <v>3023</v>
      </c>
      <c r="I8" s="24">
        <f>G8+H8-C8-E8</f>
        <v>0</v>
      </c>
      <c r="J8" s="24">
        <f>C8-G8</f>
        <v>-3333</v>
      </c>
      <c r="K8" s="24"/>
    </row>
    <row r="9" ht="20.05" customHeight="1">
      <c r="B9" s="30"/>
      <c r="C9" s="23">
        <v>15</v>
      </c>
      <c r="D9" s="24">
        <v>6306</v>
      </c>
      <c r="E9" s="24">
        <f>D9-C9</f>
        <v>6291</v>
      </c>
      <c r="F9" s="24"/>
      <c r="G9" s="24">
        <v>3206</v>
      </c>
      <c r="H9" s="24">
        <v>3101</v>
      </c>
      <c r="I9" s="24">
        <f>G9+H9-C9-E9</f>
        <v>1</v>
      </c>
      <c r="J9" s="24">
        <f>C9-G9</f>
        <v>-3191</v>
      </c>
      <c r="K9" s="24"/>
    </row>
    <row r="10" ht="20.05" customHeight="1">
      <c r="B10" s="30"/>
      <c r="C10" s="23">
        <v>18</v>
      </c>
      <c r="D10" s="24">
        <v>6261</v>
      </c>
      <c r="E10" s="24">
        <f>D10-C10</f>
        <v>6243</v>
      </c>
      <c r="F10" s="24"/>
      <c r="G10" s="24">
        <v>3113</v>
      </c>
      <c r="H10" s="24">
        <v>3147</v>
      </c>
      <c r="I10" s="24">
        <f>G10+H10-C10-E10</f>
        <v>-1</v>
      </c>
      <c r="J10" s="24">
        <f>C10-G10</f>
        <v>-3095</v>
      </c>
      <c r="K10" s="24"/>
    </row>
    <row r="11" ht="20.05" customHeight="1">
      <c r="B11" s="30"/>
      <c r="C11" s="23">
        <v>60</v>
      </c>
      <c r="D11" s="24">
        <v>6077</v>
      </c>
      <c r="E11" s="24">
        <f>D11-C11</f>
        <v>6017</v>
      </c>
      <c r="F11" s="24">
        <f>78+67</f>
        <v>145</v>
      </c>
      <c r="G11" s="24">
        <v>2741</v>
      </c>
      <c r="H11" s="24">
        <v>3335</v>
      </c>
      <c r="I11" s="24">
        <f>G11+H11-C11-E11</f>
        <v>-1</v>
      </c>
      <c r="J11" s="24">
        <f>C11-G11</f>
        <v>-2681</v>
      </c>
      <c r="K11" s="24"/>
    </row>
    <row r="12" ht="20.05" customHeight="1">
      <c r="B12" s="31">
        <v>2021</v>
      </c>
      <c r="C12" s="23">
        <v>38</v>
      </c>
      <c r="D12" s="24">
        <v>5766</v>
      </c>
      <c r="E12" s="24">
        <f>D12-C12</f>
        <v>5728</v>
      </c>
      <c r="F12" s="24">
        <f>91+80</f>
        <v>171</v>
      </c>
      <c r="G12" s="24">
        <v>2322</v>
      </c>
      <c r="H12" s="24">
        <v>3445</v>
      </c>
      <c r="I12" s="24">
        <f>G12+H12-C12-E12</f>
        <v>1</v>
      </c>
      <c r="J12" s="24">
        <f>C12-G12</f>
        <v>-2284</v>
      </c>
      <c r="K12" s="24"/>
    </row>
    <row r="13" ht="20.05" customHeight="1">
      <c r="B13" s="30"/>
      <c r="C13" s="23">
        <v>37</v>
      </c>
      <c r="D13" s="24">
        <v>6339</v>
      </c>
      <c r="E13" s="24">
        <f>D13-C13</f>
        <v>6302</v>
      </c>
      <c r="F13" s="24">
        <f>124+82</f>
        <v>206</v>
      </c>
      <c r="G13" s="24">
        <v>2705</v>
      </c>
      <c r="H13" s="24">
        <v>3634</v>
      </c>
      <c r="I13" s="24">
        <f>G13+H13-C13-E13</f>
        <v>0</v>
      </c>
      <c r="J13" s="24">
        <f>C13-G13</f>
        <v>-2668</v>
      </c>
      <c r="K13" s="24"/>
    </row>
    <row r="14" ht="20.05" customHeight="1">
      <c r="B14" s="30"/>
      <c r="C14" s="23">
        <v>54</v>
      </c>
      <c r="D14" s="24">
        <v>6868</v>
      </c>
      <c r="E14" s="24">
        <f>D14-C14</f>
        <v>6814</v>
      </c>
      <c r="F14" s="24">
        <f>153+83</f>
        <v>236</v>
      </c>
      <c r="G14" s="24">
        <v>3085</v>
      </c>
      <c r="H14" s="24">
        <v>3783</v>
      </c>
      <c r="I14" s="24">
        <f>G14+H14-C14-E14</f>
        <v>0</v>
      </c>
      <c r="J14" s="24">
        <f>C14-G14</f>
        <v>-3031</v>
      </c>
      <c r="K14" s="24">
        <f>J14</f>
        <v>-3031</v>
      </c>
    </row>
    <row r="15" ht="20.05" customHeight="1">
      <c r="B15" s="30"/>
      <c r="C15" s="23"/>
      <c r="D15" s="24"/>
      <c r="E15" s="24"/>
      <c r="F15" s="24"/>
      <c r="G15" s="24"/>
      <c r="H15" s="24"/>
      <c r="I15" s="24"/>
      <c r="J15" s="24"/>
      <c r="K15" s="24">
        <f>'Mode'!E30</f>
        <v>-2497.4522875315</v>
      </c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D51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4.5" style="37" customWidth="1"/>
    <col min="2" max="2" width="9.67969" style="37" customWidth="1"/>
    <col min="3" max="4" width="8.82812" style="37" customWidth="1"/>
    <col min="5" max="16384" width="16.3516" style="37" customWidth="1"/>
  </cols>
  <sheetData>
    <row r="1" ht="20" customHeight="1"/>
    <row r="2" ht="27.65" customHeight="1">
      <c r="B2" t="s" s="2">
        <v>52</v>
      </c>
      <c r="C2" s="2"/>
      <c r="D2" s="2"/>
    </row>
    <row r="3" ht="20.25" customHeight="1">
      <c r="B3" s="5"/>
      <c r="C3" t="s" s="38">
        <v>53</v>
      </c>
      <c r="D3" t="s" s="38">
        <v>54</v>
      </c>
    </row>
    <row r="4" ht="20.25" customHeight="1">
      <c r="B4" s="26">
        <v>2018</v>
      </c>
      <c r="C4" s="39">
        <v>137.290329</v>
      </c>
      <c r="D4" s="9"/>
    </row>
    <row r="5" ht="20.05" customHeight="1">
      <c r="B5" s="30"/>
      <c r="C5" s="40">
        <v>125.522583</v>
      </c>
      <c r="D5" s="21"/>
    </row>
    <row r="6" ht="20.05" customHeight="1">
      <c r="B6" s="30"/>
      <c r="C6" s="40">
        <v>120.619354</v>
      </c>
      <c r="D6" s="21"/>
    </row>
    <row r="7" ht="20.05" customHeight="1">
      <c r="B7" s="30"/>
      <c r="C7" s="40">
        <v>111.793549</v>
      </c>
      <c r="D7" s="21"/>
    </row>
    <row r="8" ht="20.05" customHeight="1">
      <c r="B8" s="30"/>
      <c r="C8" s="40">
        <v>93.161293</v>
      </c>
      <c r="D8" s="21"/>
    </row>
    <row r="9" ht="20.05" customHeight="1">
      <c r="B9" s="30"/>
      <c r="C9" s="40">
        <v>89.238708</v>
      </c>
      <c r="D9" s="21"/>
    </row>
    <row r="10" ht="20.05" customHeight="1">
      <c r="B10" s="30"/>
      <c r="C10" s="40">
        <v>77.47096999999999</v>
      </c>
      <c r="D10" s="21"/>
    </row>
    <row r="11" ht="20.05" customHeight="1">
      <c r="B11" s="30"/>
      <c r="C11" s="40">
        <v>71.587097</v>
      </c>
      <c r="D11" s="21"/>
    </row>
    <row r="12" ht="20.05" customHeight="1">
      <c r="B12" s="30"/>
      <c r="C12" s="40">
        <v>83.354843</v>
      </c>
      <c r="D12" s="21"/>
    </row>
    <row r="13" ht="20.05" customHeight="1">
      <c r="B13" s="30"/>
      <c r="C13" s="40">
        <v>84.335487</v>
      </c>
      <c r="D13" s="21"/>
    </row>
    <row r="14" ht="20.05" customHeight="1">
      <c r="B14" s="30"/>
      <c r="C14" s="40">
        <v>82.374191</v>
      </c>
      <c r="D14" s="21"/>
    </row>
    <row r="15" ht="20.05" customHeight="1">
      <c r="B15" s="30"/>
      <c r="C15" s="40">
        <v>118.658066</v>
      </c>
      <c r="D15" s="21"/>
    </row>
    <row r="16" ht="20.05" customHeight="1">
      <c r="B16" s="31">
        <v>2019</v>
      </c>
      <c r="C16" s="40">
        <v>112.774193</v>
      </c>
      <c r="D16" s="21"/>
    </row>
    <row r="17" ht="20.05" customHeight="1">
      <c r="B17" s="30"/>
      <c r="C17" s="40">
        <v>98.064514</v>
      </c>
      <c r="D17" s="21"/>
    </row>
    <row r="18" ht="20.05" customHeight="1">
      <c r="B18" s="30"/>
      <c r="C18" s="40">
        <v>100.02581</v>
      </c>
      <c r="D18" s="21"/>
    </row>
    <row r="19" ht="20.05" customHeight="1">
      <c r="B19" s="30"/>
      <c r="C19" s="40">
        <v>95.122581</v>
      </c>
      <c r="D19" s="21"/>
    </row>
    <row r="20" ht="20.05" customHeight="1">
      <c r="B20" s="30"/>
      <c r="C20" s="40">
        <v>101.987099</v>
      </c>
      <c r="D20" s="21"/>
    </row>
    <row r="21" ht="20.05" customHeight="1">
      <c r="B21" s="30"/>
      <c r="C21" s="40">
        <v>121.600006</v>
      </c>
      <c r="D21" s="21"/>
    </row>
    <row r="22" ht="20.05" customHeight="1">
      <c r="B22" s="30"/>
      <c r="C22" s="40">
        <v>109.83226</v>
      </c>
      <c r="D22" s="21"/>
    </row>
    <row r="23" ht="20.05" customHeight="1">
      <c r="B23" s="30"/>
      <c r="C23" s="40">
        <v>128.464523</v>
      </c>
      <c r="D23" s="21"/>
    </row>
    <row r="24" ht="20.05" customHeight="1">
      <c r="B24" s="30"/>
      <c r="C24" s="40">
        <v>203.974197</v>
      </c>
      <c r="D24" s="21"/>
    </row>
    <row r="25" ht="20.05" customHeight="1">
      <c r="B25" s="30"/>
      <c r="C25" s="40">
        <v>175.535492</v>
      </c>
      <c r="D25" s="21"/>
    </row>
    <row r="26" ht="20.05" customHeight="1">
      <c r="B26" s="30"/>
      <c r="C26" s="40">
        <v>180.438721</v>
      </c>
      <c r="D26" s="21"/>
    </row>
    <row r="27" ht="20.05" customHeight="1">
      <c r="B27" s="30"/>
      <c r="C27" s="40">
        <v>155.922577</v>
      </c>
      <c r="D27" s="21"/>
    </row>
    <row r="28" ht="20.05" customHeight="1">
      <c r="B28" s="31">
        <v>2020</v>
      </c>
      <c r="C28" s="40">
        <v>142.193558</v>
      </c>
      <c r="D28" s="21"/>
    </row>
    <row r="29" ht="20.05" customHeight="1">
      <c r="B29" s="30"/>
      <c r="C29" s="40">
        <v>107.870972</v>
      </c>
      <c r="D29" s="21"/>
    </row>
    <row r="30" ht="20.05" customHeight="1">
      <c r="B30" s="30"/>
      <c r="C30" s="40">
        <v>123.561295</v>
      </c>
      <c r="D30" s="21"/>
    </row>
    <row r="31" ht="20.05" customHeight="1">
      <c r="B31" s="30"/>
      <c r="C31" s="40">
        <v>118.658066</v>
      </c>
      <c r="D31" s="21"/>
    </row>
    <row r="32" ht="20.05" customHeight="1">
      <c r="B32" s="30"/>
      <c r="C32" s="40">
        <v>121.600006</v>
      </c>
      <c r="D32" s="21"/>
    </row>
    <row r="33" ht="20.05" customHeight="1">
      <c r="B33" s="30"/>
      <c r="C33" s="40">
        <v>126.503227</v>
      </c>
      <c r="D33" s="21"/>
    </row>
    <row r="34" ht="20.05" customHeight="1">
      <c r="B34" s="30"/>
      <c r="C34" s="40">
        <v>125.522583</v>
      </c>
      <c r="D34" s="21"/>
    </row>
    <row r="35" ht="20.05" customHeight="1">
      <c r="B35" s="30"/>
      <c r="C35" s="40">
        <v>113.754837</v>
      </c>
      <c r="D35" s="21"/>
    </row>
    <row r="36" ht="20.05" customHeight="1">
      <c r="B36" s="30"/>
      <c r="C36" s="40">
        <v>119.63871</v>
      </c>
      <c r="D36" s="21"/>
    </row>
    <row r="37" ht="20.05" customHeight="1">
      <c r="B37" s="30"/>
      <c r="C37" s="40">
        <v>155.922577</v>
      </c>
      <c r="D37" s="21"/>
    </row>
    <row r="38" ht="20.05" customHeight="1">
      <c r="B38" s="30"/>
      <c r="C38" s="40">
        <v>156.903229</v>
      </c>
      <c r="D38" s="21"/>
    </row>
    <row r="39" ht="20.05" customHeight="1">
      <c r="B39" s="30"/>
      <c r="C39" s="40">
        <v>163.767746</v>
      </c>
      <c r="D39" s="21"/>
    </row>
    <row r="40" ht="20.05" customHeight="1">
      <c r="B40" s="31">
        <v>2021</v>
      </c>
      <c r="C40" s="40">
        <v>167</v>
      </c>
      <c r="D40" s="21"/>
    </row>
    <row r="41" ht="20.05" customHeight="1">
      <c r="B41" s="30"/>
      <c r="C41" s="40">
        <v>200</v>
      </c>
      <c r="D41" s="21"/>
    </row>
    <row r="42" ht="20.05" customHeight="1">
      <c r="B42" s="30"/>
      <c r="C42" s="40">
        <v>187</v>
      </c>
      <c r="D42" s="21"/>
    </row>
    <row r="43" ht="20.05" customHeight="1">
      <c r="B43" s="30"/>
      <c r="C43" s="40">
        <v>226</v>
      </c>
      <c r="D43" s="21"/>
    </row>
    <row r="44" ht="20.05" customHeight="1">
      <c r="B44" s="30"/>
      <c r="C44" s="40">
        <v>284</v>
      </c>
      <c r="D44" s="21"/>
    </row>
    <row r="45" ht="20.05" customHeight="1">
      <c r="B45" s="30"/>
      <c r="C45" s="40">
        <v>240</v>
      </c>
      <c r="D45" s="21"/>
    </row>
    <row r="46" ht="20.05" customHeight="1">
      <c r="B46" s="30"/>
      <c r="C46" s="40">
        <v>286</v>
      </c>
      <c r="D46" s="21"/>
    </row>
    <row r="47" ht="20.05" customHeight="1">
      <c r="B47" s="30"/>
      <c r="C47" s="40">
        <v>298</v>
      </c>
      <c r="D47" s="21"/>
    </row>
    <row r="48" ht="20.05" customHeight="1">
      <c r="B48" s="30"/>
      <c r="C48" s="40">
        <v>306</v>
      </c>
      <c r="D48" s="21"/>
    </row>
    <row r="49" ht="20.05" customHeight="1">
      <c r="B49" s="30"/>
      <c r="C49" s="23">
        <v>350</v>
      </c>
      <c r="D49" s="21"/>
    </row>
    <row r="50" ht="20.05" customHeight="1">
      <c r="B50" s="30"/>
      <c r="C50" s="23">
        <v>476</v>
      </c>
      <c r="D50" s="19">
        <f>C50</f>
        <v>476</v>
      </c>
    </row>
    <row r="51" ht="20.05" customHeight="1">
      <c r="B51" s="30"/>
      <c r="C51" s="23"/>
      <c r="D51" s="19">
        <f>'Mode'!E42</f>
        <v>808.425916095343</v>
      </c>
    </row>
  </sheetData>
  <mergeCells count="1">
    <mergeCell ref="B2:D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