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 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<sst xmlns="http://schemas.openxmlformats.org/spreadsheetml/2006/main" uniqueCount="55">
  <si>
    <t>Financial model</t>
  </si>
  <si>
    <t>$m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</si>
  <si>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</si>
  <si>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</si>
  <si>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</si>
  <si>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</si>
  <si>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</si>
  <si>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</si>
  <si>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</si>
  <si>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</si>
  <si>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</si>
  <si>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</si>
  <si>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</si>
  <si>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</si>
  <si>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</si>
  <si>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</si>
  <si>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</si>
  <si>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</si>
  <si>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</si>
  <si>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</si>
  <si>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</si>
  <si>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</si>
  <si>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</si>
  <si>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</si>
  <si>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</si>
  <si>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</si>
  <si>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</si>
  <si>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</si>
  <si>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</si>
  <si>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</si>
  <si>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 xml:space="preserve">P/assets </t>
  </si>
  <si>
    <t>Yield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</si>
  <si>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</si>
  <si>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</si>
  <si>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</si>
  <si>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</si>
  <si>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</si>
  <si>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</si>
  <si>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</si>
  <si>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</si>
  <si>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</si>
  <si>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Non cash costs</t>
  </si>
  <si>
    <t>Profit</t>
  </si>
  <si>
    <t xml:space="preserve">Sales growth </t>
  </si>
  <si>
    <t xml:space="preserve">Cashflow costs </t>
  </si>
  <si>
    <t>Cashflow</t>
  </si>
  <si>
    <t>Receipts</t>
  </si>
  <si>
    <t xml:space="preserve">Free cashflow </t>
  </si>
  <si>
    <t>Capital</t>
  </si>
  <si>
    <t>Cash</t>
  </si>
  <si>
    <t>Assets</t>
  </si>
  <si>
    <t>Check</t>
  </si>
  <si>
    <t>Share price</t>
  </si>
  <si>
    <t>IPOL</t>
  </si>
  <si>
    <t>Target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</si>
</sst>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0.0_);[Red]\(0.0\)"/>
    <numFmt numFmtId="60" formatCode="#,##0.0"/>
    <numFmt numFmtId="61" formatCode="#,##0.0%"/>
    <numFmt numFmtId="62" formatCode="#,##0%"/>
    <numFmt numFmtId="63" formatCode="0.0"/>
    <numFmt numFmtId="64" formatCode="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64" fontId="0" borderId="4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4" fontId="0" borderId="7" applyNumberFormat="1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0" fontId="0" borderId="3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674107</xdr:colOff>
      <xdr:row>1</xdr:row>
      <xdr:rowOff>313139</xdr:rowOff>
    </xdr:from>
    <xdr:to>
      <xdr:col>13</xdr:col>
      <xdr:colOff>117084</xdr:colOff>
      <xdr:row>47</xdr:row>
      <xdr:rowOff>21067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76207" y="498559"/>
          <a:ext cx="8155178" cy="115227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74219" style="1" customWidth="1"/>
    <col min="2" max="2" width="15.4297" style="1" customWidth="1"/>
    <col min="3" max="6" width="8.60156" style="1" customWidth="1"/>
    <col min="7" max="16384" width="16.3516" style="1" customWidth="1"/>
  </cols>
  <sheetData>
    <row r="1" ht="14.6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 '!H22:H25)</f>
        <v>0.0518850701266027</v>
      </c>
      <c r="D4" s="8"/>
      <c r="E4" s="8"/>
      <c r="F4" s="9">
        <f>AVERAGE(C5:F5)</f>
        <v>0.02</v>
      </c>
    </row>
    <row r="5" ht="20.05" customHeight="1">
      <c r="B5" t="s" s="10">
        <v>4</v>
      </c>
      <c r="C5" s="11">
        <v>0.03</v>
      </c>
      <c r="D5" s="12">
        <v>-0.01</v>
      </c>
      <c r="E5" s="12">
        <v>0.02</v>
      </c>
      <c r="F5" s="12">
        <v>0.04</v>
      </c>
    </row>
    <row r="6" ht="20.05" customHeight="1">
      <c r="B6" t="s" s="10">
        <v>5</v>
      </c>
      <c r="C6" s="13">
        <f>'Sales '!C25*(1+C5)</f>
        <v>61.8</v>
      </c>
      <c r="D6" s="14">
        <f>C6*(1+D5)</f>
        <v>61.182</v>
      </c>
      <c r="E6" s="14">
        <f>D6*(1+E5)</f>
        <v>62.40564</v>
      </c>
      <c r="F6" s="14">
        <f>E6*(1+F5)</f>
        <v>64.90186559999999</v>
      </c>
    </row>
    <row r="7" ht="20.05" customHeight="1">
      <c r="B7" t="s" s="10">
        <v>6</v>
      </c>
      <c r="C7" s="11">
        <f>AVERAGE('Sales '!I25)</f>
        <v>-0.921666666666667</v>
      </c>
      <c r="D7" s="12">
        <f>C7</f>
        <v>-0.921666666666667</v>
      </c>
      <c r="E7" s="12">
        <f>D7</f>
        <v>-0.921666666666667</v>
      </c>
      <c r="F7" s="12">
        <f>E7</f>
        <v>-0.921666666666667</v>
      </c>
    </row>
    <row r="8" ht="20.05" customHeight="1">
      <c r="B8" t="s" s="10">
        <v>7</v>
      </c>
      <c r="C8" s="15">
        <f>C6*C7</f>
        <v>-56.959</v>
      </c>
      <c r="D8" s="16">
        <f>D6*D7</f>
        <v>-56.38941</v>
      </c>
      <c r="E8" s="16">
        <f>E6*E7</f>
        <v>-57.5171982</v>
      </c>
      <c r="F8" s="16">
        <f>F6*F7</f>
        <v>-59.817886128</v>
      </c>
    </row>
    <row r="9" ht="20.05" customHeight="1">
      <c r="B9" t="s" s="10">
        <v>8</v>
      </c>
      <c r="C9" s="15">
        <f>C6+C8</f>
        <v>4.841</v>
      </c>
      <c r="D9" s="16">
        <f>D6+D8</f>
        <v>4.79259</v>
      </c>
      <c r="E9" s="16">
        <f>E6+E8</f>
        <v>4.8884418</v>
      </c>
      <c r="F9" s="16">
        <f>F6+F8</f>
        <v>5.083979472</v>
      </c>
    </row>
    <row r="10" ht="20.05" customHeight="1">
      <c r="B10" t="s" s="10">
        <v>9</v>
      </c>
      <c r="C10" s="15">
        <f>AVERAGE('Cashflow '!E23:E25)</f>
        <v>-2.93333333333333</v>
      </c>
      <c r="D10" s="16">
        <f>C10</f>
        <v>-2.93333333333333</v>
      </c>
      <c r="E10" s="16">
        <f>D10</f>
        <v>-2.93333333333333</v>
      </c>
      <c r="F10" s="16">
        <f>E10</f>
        <v>-2.93333333333333</v>
      </c>
    </row>
    <row r="11" ht="20.05" customHeight="1">
      <c r="B11" t="s" s="10">
        <v>10</v>
      </c>
      <c r="C11" s="15">
        <f>C12+C13+C15</f>
        <v>-1.90766666666667</v>
      </c>
      <c r="D11" s="16">
        <f>D12+D13+D15</f>
        <v>-1.85925666666667</v>
      </c>
      <c r="E11" s="16">
        <f>E12+E13+E15</f>
        <v>-1.95510846666667</v>
      </c>
      <c r="F11" s="16">
        <f>F12+F13+F15</f>
        <v>-2.15064613866667</v>
      </c>
    </row>
    <row r="12" ht="20.05" customHeight="1">
      <c r="B12" t="s" s="10">
        <v>11</v>
      </c>
      <c r="C12" s="15">
        <f>-'Balance sheet'!G26/20</f>
        <v>-5.45</v>
      </c>
      <c r="D12" s="16">
        <f>-C26/20</f>
        <v>-5.1775</v>
      </c>
      <c r="E12" s="16">
        <f>-D26/20</f>
        <v>-4.918625</v>
      </c>
      <c r="F12" s="16">
        <f>-E26/20</f>
        <v>-4.67269375</v>
      </c>
    </row>
    <row r="13" ht="20.05" customHeight="1">
      <c r="B13" t="s" s="10">
        <v>12</v>
      </c>
      <c r="C13" s="15">
        <f>IF(C21&gt;0,-C21*0.3,0)</f>
        <v>-0.6723</v>
      </c>
      <c r="D13" s="16">
        <f>IF(D21&gt;0,-D21*0.3,0)</f>
        <v>-0.6577769999999999</v>
      </c>
      <c r="E13" s="16">
        <f>IF(E21&gt;0,-E21*0.3,0)</f>
        <v>-0.68653254</v>
      </c>
      <c r="F13" s="16">
        <f>IF(F21&gt;0,-F21*0.3,0)</f>
        <v>-0.7451938416</v>
      </c>
    </row>
    <row r="14" ht="20.05" customHeight="1">
      <c r="B14" t="s" s="10">
        <v>13</v>
      </c>
      <c r="C14" s="15">
        <f>C9+C10+C12+C13</f>
        <v>-4.21463333333333</v>
      </c>
      <c r="D14" s="16">
        <f>D9+D10+D12+D13</f>
        <v>-3.97602033333333</v>
      </c>
      <c r="E14" s="16">
        <f>E9+E10+E12+E13</f>
        <v>-3.65004907333333</v>
      </c>
      <c r="F14" s="16">
        <f>F9+F10+F12+F13</f>
        <v>-3.26724145293333</v>
      </c>
    </row>
    <row r="15" ht="20.05" customHeight="1">
      <c r="B15" t="s" s="10">
        <v>14</v>
      </c>
      <c r="C15" s="15">
        <f>-MIN(0,C14)</f>
        <v>4.21463333333333</v>
      </c>
      <c r="D15" s="16">
        <f>-MIN(C27,D14)</f>
        <v>3.97602033333333</v>
      </c>
      <c r="E15" s="16">
        <f>-MIN(D27,E14)</f>
        <v>3.65004907333333</v>
      </c>
      <c r="F15" s="16">
        <f>-MIN(E27,F14)</f>
        <v>3.26724145293333</v>
      </c>
    </row>
    <row r="16" ht="20.05" customHeight="1">
      <c r="B16" t="s" s="10">
        <v>15</v>
      </c>
      <c r="C16" s="15">
        <f>'Balance sheet'!C26</f>
        <v>19</v>
      </c>
      <c r="D16" s="16">
        <f>C18</f>
        <v>19</v>
      </c>
      <c r="E16" s="16">
        <f>D18</f>
        <v>19</v>
      </c>
      <c r="F16" s="16">
        <f>E18</f>
        <v>19</v>
      </c>
    </row>
    <row r="17" ht="20.05" customHeight="1">
      <c r="B17" t="s" s="10">
        <v>16</v>
      </c>
      <c r="C17" s="15">
        <f>C9+C10+C11</f>
        <v>0</v>
      </c>
      <c r="D17" s="16">
        <f>D9+D10+D11</f>
        <v>0</v>
      </c>
      <c r="E17" s="16">
        <f>E9+E10+E11</f>
        <v>0</v>
      </c>
      <c r="F17" s="16">
        <f>F9+F10+F11</f>
        <v>0</v>
      </c>
    </row>
    <row r="18" ht="20.05" customHeight="1">
      <c r="B18" t="s" s="10">
        <v>17</v>
      </c>
      <c r="C18" s="15">
        <f>C16+C17</f>
        <v>19</v>
      </c>
      <c r="D18" s="16">
        <f>D16+D17</f>
        <v>19</v>
      </c>
      <c r="E18" s="16">
        <f>E16+E17</f>
        <v>19</v>
      </c>
      <c r="F18" s="16">
        <f>F16+F17</f>
        <v>19</v>
      </c>
    </row>
    <row r="19" ht="20.05" customHeight="1">
      <c r="B19" t="s" s="17">
        <v>18</v>
      </c>
      <c r="C19" s="15"/>
      <c r="D19" s="16"/>
      <c r="E19" s="16"/>
      <c r="F19" s="18"/>
    </row>
    <row r="20" ht="20.05" customHeight="1">
      <c r="B20" t="s" s="10">
        <v>19</v>
      </c>
      <c r="C20" s="15">
        <f>-AVERAGE('Sales '!E25)</f>
        <v>-2.6</v>
      </c>
      <c r="D20" s="16">
        <f>C20</f>
        <v>-2.6</v>
      </c>
      <c r="E20" s="16">
        <f>D20</f>
        <v>-2.6</v>
      </c>
      <c r="F20" s="16">
        <f>E20</f>
        <v>-2.6</v>
      </c>
    </row>
    <row r="21" ht="20.05" customHeight="1">
      <c r="B21" t="s" s="10">
        <v>18</v>
      </c>
      <c r="C21" s="15">
        <f>C6+C8+C20</f>
        <v>2.241</v>
      </c>
      <c r="D21" s="16">
        <f>D6+D8+D20</f>
        <v>2.19259</v>
      </c>
      <c r="E21" s="16">
        <f>E6+E8+E20</f>
        <v>2.2884418</v>
      </c>
      <c r="F21" s="16">
        <f>F6+F8+F20</f>
        <v>2.483979472</v>
      </c>
    </row>
    <row r="22" ht="20.05" customHeight="1">
      <c r="B22" t="s" s="17">
        <v>20</v>
      </c>
      <c r="C22" s="15"/>
      <c r="D22" s="16"/>
      <c r="E22" s="16"/>
      <c r="F22" s="16"/>
    </row>
    <row r="23" ht="20.05" customHeight="1">
      <c r="B23" t="s" s="10">
        <v>21</v>
      </c>
      <c r="C23" s="19">
        <f>'Balance sheet'!E26+'Balance sheet'!F26-C10</f>
        <v>418.933333333333</v>
      </c>
      <c r="D23" s="20">
        <f>C23-D10</f>
        <v>421.866666666666</v>
      </c>
      <c r="E23" s="20">
        <f>D23-E10</f>
        <v>424.799999999999</v>
      </c>
      <c r="F23" s="20">
        <f>E23-F10</f>
        <v>427.733333333332</v>
      </c>
    </row>
    <row r="24" ht="20.05" customHeight="1">
      <c r="B24" t="s" s="10">
        <v>22</v>
      </c>
      <c r="C24" s="19">
        <f>'Balance sheet'!F26-C20</f>
        <v>147.6</v>
      </c>
      <c r="D24" s="20">
        <f>C24-D20</f>
        <v>150.2</v>
      </c>
      <c r="E24" s="20">
        <f>D24-E20</f>
        <v>152.8</v>
      </c>
      <c r="F24" s="20">
        <f>E24-F20</f>
        <v>155.4</v>
      </c>
    </row>
    <row r="25" ht="20.05" customHeight="1">
      <c r="B25" t="s" s="10">
        <v>23</v>
      </c>
      <c r="C25" s="19">
        <f>C23-C24</f>
        <v>271.333333333333</v>
      </c>
      <c r="D25" s="20">
        <f>D23-D24</f>
        <v>271.666666666666</v>
      </c>
      <c r="E25" s="20">
        <f>E23-E24</f>
        <v>271.999999999999</v>
      </c>
      <c r="F25" s="20">
        <f>F23-F24</f>
        <v>272.333333333332</v>
      </c>
    </row>
    <row r="26" ht="20.05" customHeight="1">
      <c r="B26" t="s" s="10">
        <v>11</v>
      </c>
      <c r="C26" s="19">
        <f>'Balance sheet'!G26+C12</f>
        <v>103.55</v>
      </c>
      <c r="D26" s="20">
        <f>C26+D12</f>
        <v>98.3725</v>
      </c>
      <c r="E26" s="20">
        <f>D26+E12</f>
        <v>93.453875</v>
      </c>
      <c r="F26" s="20">
        <f>E26+F12</f>
        <v>88.78118125</v>
      </c>
    </row>
    <row r="27" ht="20.05" customHeight="1">
      <c r="B27" t="s" s="10">
        <v>14</v>
      </c>
      <c r="C27" s="19">
        <f>C15</f>
        <v>4.21463333333333</v>
      </c>
      <c r="D27" s="20">
        <f>C27+D15</f>
        <v>8.190653666666661</v>
      </c>
      <c r="E27" s="20">
        <f>D27+E15</f>
        <v>11.84070274</v>
      </c>
      <c r="F27" s="20">
        <f>E27+F15</f>
        <v>15.1079441929333</v>
      </c>
    </row>
    <row r="28" ht="20.05" customHeight="1">
      <c r="B28" t="s" s="10">
        <v>12</v>
      </c>
      <c r="C28" s="19">
        <f>'Balance sheet'!H26+C21+C13</f>
        <v>182.5687</v>
      </c>
      <c r="D28" s="20">
        <f>C28+D21+D13</f>
        <v>184.103513</v>
      </c>
      <c r="E28" s="20">
        <f>D28+E21+E13</f>
        <v>185.70542226</v>
      </c>
      <c r="F28" s="20">
        <f>E28+F21+F13</f>
        <v>187.4442078904</v>
      </c>
    </row>
    <row r="29" ht="20.05" customHeight="1">
      <c r="B29" t="s" s="10">
        <v>24</v>
      </c>
      <c r="C29" s="19">
        <f>C26+C27+C28-C18-C25</f>
        <v>3.3e-13</v>
      </c>
      <c r="D29" s="20">
        <f>D26+D27+D28-D18-D25</f>
        <v>6.6e-13</v>
      </c>
      <c r="E29" s="20">
        <f>E26+E27+E28-E18-E25</f>
        <v>1e-12</v>
      </c>
      <c r="F29" s="20">
        <f>F26+F27+F28-F18-F25</f>
        <v>1.3e-12</v>
      </c>
    </row>
    <row r="30" ht="20.05" customHeight="1">
      <c r="B30" t="s" s="10">
        <v>25</v>
      </c>
      <c r="C30" s="19">
        <f>C18-C26-C27</f>
        <v>-88.76463333333329</v>
      </c>
      <c r="D30" s="20">
        <f>D18-D26-D27</f>
        <v>-87.56315366666669</v>
      </c>
      <c r="E30" s="20">
        <f>E18-E26-E27</f>
        <v>-86.29457773999999</v>
      </c>
      <c r="F30" s="20">
        <f>F18-F26-F27</f>
        <v>-84.88912544293331</v>
      </c>
    </row>
    <row r="31" ht="20.05" customHeight="1">
      <c r="B31" t="s" s="10">
        <v>26</v>
      </c>
      <c r="C31" s="15"/>
      <c r="D31" s="16"/>
      <c r="E31" s="16"/>
      <c r="F31" s="16"/>
    </row>
    <row r="32" ht="20.05" customHeight="1">
      <c r="B32" t="s" s="10">
        <v>27</v>
      </c>
      <c r="C32" s="15"/>
      <c r="D32" s="16"/>
      <c r="E32" s="16"/>
      <c r="F32" s="16">
        <v>14</v>
      </c>
    </row>
    <row r="33" ht="20.05" customHeight="1">
      <c r="B33" t="s" s="10">
        <v>28</v>
      </c>
      <c r="C33" s="15">
        <f>'Cashflow '!K25-C11</f>
        <v>25.2038036666667</v>
      </c>
      <c r="D33" s="16">
        <f>C33-D11</f>
        <v>27.0630603333334</v>
      </c>
      <c r="E33" s="16">
        <f>D33-E11</f>
        <v>29.0181688000001</v>
      </c>
      <c r="F33" s="16">
        <f>E33-F11</f>
        <v>31.1688149386668</v>
      </c>
    </row>
    <row r="34" ht="20.05" customHeight="1">
      <c r="B34" t="s" s="10">
        <v>29</v>
      </c>
      <c r="C34" s="15"/>
      <c r="D34" s="16"/>
      <c r="E34" s="16"/>
      <c r="F34" s="16">
        <f>(F42*F44)/F32</f>
        <v>81.4761904761904</v>
      </c>
    </row>
    <row r="35" ht="20.05" customHeight="1">
      <c r="B35" t="s" s="10">
        <v>30</v>
      </c>
      <c r="C35" s="15"/>
      <c r="D35" s="16"/>
      <c r="E35" s="16"/>
      <c r="F35" s="21">
        <f>F34/(F18+F25)</f>
        <v>0.279666557698595</v>
      </c>
    </row>
    <row r="36" ht="20.05" customHeight="1">
      <c r="B36" t="s" s="10">
        <v>31</v>
      </c>
      <c r="C36" s="15"/>
      <c r="D36" s="16"/>
      <c r="E36" s="16"/>
      <c r="F36" s="22">
        <f>-(C13+D13+E13+F13)/F34</f>
        <v>0.0338970607911163</v>
      </c>
    </row>
    <row r="37" ht="20.05" customHeight="1">
      <c r="B37" t="s" s="10">
        <v>3</v>
      </c>
      <c r="C37" s="15"/>
      <c r="D37" s="16"/>
      <c r="E37" s="16"/>
      <c r="F37" s="16">
        <f>SUM(C9:F10)</f>
        <v>7.87267793866668</v>
      </c>
    </row>
    <row r="38" ht="20.05" customHeight="1">
      <c r="B38" t="s" s="10">
        <v>32</v>
      </c>
      <c r="C38" s="15"/>
      <c r="D38" s="16"/>
      <c r="E38" s="16"/>
      <c r="F38" s="20">
        <f>'Balance sheet'!E25/F37</f>
        <v>33.9464954723223</v>
      </c>
    </row>
    <row r="39" ht="20.05" customHeight="1">
      <c r="B39" t="s" s="10">
        <v>26</v>
      </c>
      <c r="C39" s="15"/>
      <c r="D39" s="16"/>
      <c r="E39" s="16"/>
      <c r="F39" s="20">
        <f>F34/F37</f>
        <v>10.3492345439434</v>
      </c>
    </row>
    <row r="40" ht="20.05" customHeight="1">
      <c r="B40" t="s" s="10">
        <v>33</v>
      </c>
      <c r="C40" s="15"/>
      <c r="D40" s="16"/>
      <c r="E40" s="16"/>
      <c r="F40" s="20">
        <v>10</v>
      </c>
    </row>
    <row r="41" ht="20.05" customHeight="1">
      <c r="B41" t="s" s="10">
        <v>34</v>
      </c>
      <c r="C41" s="15"/>
      <c r="D41" s="16"/>
      <c r="E41" s="16"/>
      <c r="F41" s="16">
        <f>F37*F40</f>
        <v>78.72677938666681</v>
      </c>
    </row>
    <row r="42" ht="20.05" customHeight="1">
      <c r="B42" t="s" s="10">
        <v>35</v>
      </c>
      <c r="C42" s="15"/>
      <c r="D42" s="16"/>
      <c r="E42" s="16"/>
      <c r="F42" s="16">
        <v>6.44444444444444</v>
      </c>
    </row>
    <row r="43" ht="20.05" customHeight="1">
      <c r="B43" t="s" s="10">
        <v>36</v>
      </c>
      <c r="C43" s="15"/>
      <c r="D43" s="16"/>
      <c r="E43" s="16"/>
      <c r="F43" s="20">
        <f>(F41/F42)*F32</f>
        <v>171.027141426207</v>
      </c>
    </row>
    <row r="44" ht="20.05" customHeight="1">
      <c r="B44" t="s" s="10">
        <v>37</v>
      </c>
      <c r="C44" s="15"/>
      <c r="D44" s="16"/>
      <c r="E44" s="16"/>
      <c r="F44" s="20">
        <f>'Share price '!C19</f>
        <v>177</v>
      </c>
    </row>
    <row r="45" ht="20.05" customHeight="1">
      <c r="B45" t="s" s="10">
        <v>38</v>
      </c>
      <c r="C45" s="15"/>
      <c r="D45" s="16"/>
      <c r="E45" s="16"/>
      <c r="F45" s="23">
        <f>F43/F44-1</f>
        <v>-0.0337449636937458</v>
      </c>
    </row>
    <row r="46" ht="20.05" customHeight="1">
      <c r="B46" t="s" s="10">
        <v>39</v>
      </c>
      <c r="C46" s="15"/>
      <c r="D46" s="16"/>
      <c r="E46" s="16"/>
      <c r="F46" s="23">
        <f>'Sales '!C25/'Sales '!C21-1</f>
        <v>0.22298898875749</v>
      </c>
    </row>
    <row r="47" ht="20.05" customHeight="1">
      <c r="B47" t="s" s="10">
        <v>40</v>
      </c>
      <c r="C47" s="15"/>
      <c r="D47" s="16"/>
      <c r="E47" s="16"/>
      <c r="F47" s="23">
        <f>('Sales '!D22+'Sales '!D25+'Sales '!D23+'Sales '!D24)/('Sales '!C22+'Sales '!C23+'Sales '!C25+'Sales '!C24)-1</f>
        <v>-0.0229849367798396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29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4" customWidth="1"/>
    <col min="2" max="11" width="9.67969" style="24" customWidth="1"/>
    <col min="12" max="16384" width="16.3516" style="24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4">
        <v>1</v>
      </c>
      <c r="C2" t="s" s="4">
        <v>5</v>
      </c>
      <c r="D2" t="s" s="4">
        <v>33</v>
      </c>
      <c r="E2" t="s" s="4">
        <v>41</v>
      </c>
      <c r="F2" t="s" s="4">
        <v>42</v>
      </c>
      <c r="G2" t="s" s="4">
        <v>42</v>
      </c>
      <c r="H2" t="s" s="4">
        <v>43</v>
      </c>
      <c r="I2" t="s" s="4">
        <v>6</v>
      </c>
      <c r="J2" t="s" s="4">
        <v>44</v>
      </c>
      <c r="K2" t="s" s="4">
        <v>44</v>
      </c>
    </row>
    <row r="3" ht="20.25" customHeight="1">
      <c r="B3" s="25">
        <v>2016</v>
      </c>
      <c r="C3" s="26">
        <v>46.506898</v>
      </c>
      <c r="D3" s="27"/>
      <c r="E3" s="27">
        <v>2.93024825</v>
      </c>
      <c r="F3" s="27">
        <v>1.18763</v>
      </c>
      <c r="G3" s="28"/>
      <c r="H3" s="29"/>
      <c r="I3" s="9">
        <f>(E3+F3-C3)/C3</f>
        <v>-0.911456613382385</v>
      </c>
      <c r="J3" s="8"/>
      <c r="K3" s="30">
        <f>('Cashflow '!D3-'Cashflow '!C3)/'Cashflow '!C3</f>
        <v>-1.06275931703432</v>
      </c>
    </row>
    <row r="4" ht="20.05" customHeight="1">
      <c r="B4" s="31"/>
      <c r="C4" s="13">
        <v>47.354587</v>
      </c>
      <c r="D4" s="14"/>
      <c r="E4" s="14">
        <v>2.93024825</v>
      </c>
      <c r="F4" s="14">
        <v>1.353189</v>
      </c>
      <c r="G4" s="32"/>
      <c r="H4" s="12">
        <f>C4/C3-1</f>
        <v>0.0182271670753014</v>
      </c>
      <c r="I4" s="12">
        <f>(E4+F4-C4)/C4</f>
        <v>-0.909545462829187</v>
      </c>
      <c r="J4" s="18"/>
      <c r="K4" s="23">
        <f>('Cashflow '!D4-'Cashflow '!C4)/'Cashflow '!C4</f>
        <v>-0.798784559049224</v>
      </c>
    </row>
    <row r="5" ht="20.05" customHeight="1">
      <c r="B5" s="31"/>
      <c r="C5" s="13">
        <v>50.992114</v>
      </c>
      <c r="D5" s="14"/>
      <c r="E5" s="14">
        <v>2.93024825</v>
      </c>
      <c r="F5" s="14">
        <v>2.986919</v>
      </c>
      <c r="G5" s="32"/>
      <c r="H5" s="12">
        <f>C5/C4-1</f>
        <v>0.0768146705619035</v>
      </c>
      <c r="I5" s="12">
        <f>(E5+F5-C5)/C5</f>
        <v>-0.883959169647291</v>
      </c>
      <c r="J5" s="18"/>
      <c r="K5" s="23">
        <f>('Cashflow '!D5-'Cashflow '!C5)/'Cashflow '!C5</f>
        <v>-1.02925424561923</v>
      </c>
    </row>
    <row r="6" ht="20.05" customHeight="1">
      <c r="B6" s="31"/>
      <c r="C6" s="13">
        <v>50.773158</v>
      </c>
      <c r="D6" s="14"/>
      <c r="E6" s="14">
        <v>2.93024825</v>
      </c>
      <c r="F6" s="14">
        <v>0.969629</v>
      </c>
      <c r="G6" s="32">
        <f>AVERAGE(F3:F6)</f>
        <v>1.62434175</v>
      </c>
      <c r="H6" s="12">
        <f>C6/C5-1</f>
        <v>-0.00429391885968877</v>
      </c>
      <c r="I6" s="12">
        <f>(E6+F6-C6)/C6</f>
        <v>-0.923190177573749</v>
      </c>
      <c r="J6" s="18"/>
      <c r="K6" s="23">
        <f>('Cashflow '!D6-'Cashflow '!C6)/'Cashflow '!C6</f>
        <v>-0.961275257101201</v>
      </c>
    </row>
    <row r="7" ht="20.05" customHeight="1">
      <c r="B7" s="33">
        <v>2017</v>
      </c>
      <c r="C7" s="13">
        <v>47.985773</v>
      </c>
      <c r="D7" s="14"/>
      <c r="E7" s="14">
        <v>2.91444475</v>
      </c>
      <c r="F7" s="14">
        <v>0.596955</v>
      </c>
      <c r="G7" s="32">
        <f>AVERAGE(F4:F7)</f>
        <v>1.476673</v>
      </c>
      <c r="H7" s="12">
        <f>C7/C6-1</f>
        <v>-0.054898791207748</v>
      </c>
      <c r="I7" s="12">
        <f>(E7+F7-C7)/C7</f>
        <v>-0.926824149524485</v>
      </c>
      <c r="J7" s="23"/>
      <c r="K7" s="23">
        <f>('Cashflow '!D7-'Cashflow '!C7)/'Cashflow '!C7</f>
        <v>-0.9039384689323881</v>
      </c>
    </row>
    <row r="8" ht="20.05" customHeight="1">
      <c r="B8" s="31"/>
      <c r="C8" s="13">
        <v>46.277872</v>
      </c>
      <c r="D8" s="14"/>
      <c r="E8" s="14">
        <v>2.91444475</v>
      </c>
      <c r="F8" s="14">
        <v>0.622708</v>
      </c>
      <c r="G8" s="32">
        <f>AVERAGE(F5:F8)</f>
        <v>1.29405275</v>
      </c>
      <c r="H8" s="12">
        <f>C8/C7-1</f>
        <v>-0.0355918201005119</v>
      </c>
      <c r="I8" s="12">
        <f>(E8+F8-C8)/C8</f>
        <v>-0.923567082989468</v>
      </c>
      <c r="J8" s="23"/>
      <c r="K8" s="23">
        <f>('Cashflow '!D8-'Cashflow '!C8)/'Cashflow '!C8</f>
        <v>-1.15653730970965</v>
      </c>
    </row>
    <row r="9" ht="20.05" customHeight="1">
      <c r="B9" s="31"/>
      <c r="C9" s="13">
        <v>52.074211</v>
      </c>
      <c r="D9" s="14"/>
      <c r="E9" s="14">
        <v>2.91444475</v>
      </c>
      <c r="F9" s="14">
        <v>0.46884</v>
      </c>
      <c r="G9" s="32">
        <f>AVERAGE(F6:F9)</f>
        <v>0.664533</v>
      </c>
      <c r="H9" s="12">
        <f>C9/C8-1</f>
        <v>0.125250767796756</v>
      </c>
      <c r="I9" s="12">
        <f>(E9+F9-C9)/C9</f>
        <v>-0.935029553304226</v>
      </c>
      <c r="J9" s="23"/>
      <c r="K9" s="23">
        <f>('Cashflow '!D9-'Cashflow '!C9)/'Cashflow '!C9</f>
        <v>-0.881888157592137</v>
      </c>
    </row>
    <row r="10" ht="20.05" customHeight="1">
      <c r="B10" s="31"/>
      <c r="C10" s="13">
        <v>52.597126</v>
      </c>
      <c r="D10" s="14"/>
      <c r="E10" s="14">
        <v>2.91444475</v>
      </c>
      <c r="F10" s="14">
        <v>0.790923</v>
      </c>
      <c r="G10" s="32">
        <f>AVERAGE(F7:F10)</f>
        <v>0.6198565</v>
      </c>
      <c r="H10" s="12">
        <f>C10/C9-1</f>
        <v>0.0100417267963983</v>
      </c>
      <c r="I10" s="12">
        <f>(E10+F10-C10)/C10</f>
        <v>-0.929551896999087</v>
      </c>
      <c r="J10" s="23"/>
      <c r="K10" s="23">
        <f>('Cashflow '!D10-'Cashflow '!C10)/'Cashflow '!C10</f>
        <v>-0.922017750755645</v>
      </c>
    </row>
    <row r="11" ht="20.05" customHeight="1">
      <c r="B11" s="33">
        <v>2018</v>
      </c>
      <c r="C11" s="13">
        <v>50.299239</v>
      </c>
      <c r="D11" s="14"/>
      <c r="E11" s="14">
        <v>2.9</v>
      </c>
      <c r="F11" s="14">
        <v>1.077008</v>
      </c>
      <c r="G11" s="32">
        <f>AVERAGE(F8:F11)</f>
        <v>0.73986975</v>
      </c>
      <c r="H11" s="12">
        <f>C11/C10-1</f>
        <v>-0.0436884517226283</v>
      </c>
      <c r="I11" s="12">
        <f>(E11+F11-C11)/C11</f>
        <v>-0.92093303837062</v>
      </c>
      <c r="J11" s="23">
        <f>AVERAGE(K8:K11)</f>
        <v>-0.996920442066301</v>
      </c>
      <c r="K11" s="23">
        <f>('Cashflow '!D11-'Cashflow '!C11)/'Cashflow '!C11</f>
        <v>-1.02723855020777</v>
      </c>
    </row>
    <row r="12" ht="20.05" customHeight="1">
      <c r="B12" s="31"/>
      <c r="C12" s="13">
        <v>48.957416</v>
      </c>
      <c r="D12" s="14"/>
      <c r="E12" s="14">
        <v>2.9</v>
      </c>
      <c r="F12" s="14">
        <v>1.016481</v>
      </c>
      <c r="G12" s="32">
        <f>AVERAGE(F9:F12)</f>
        <v>0.838313</v>
      </c>
      <c r="H12" s="12">
        <f>C12/C11-1</f>
        <v>-0.026676805189836</v>
      </c>
      <c r="I12" s="12">
        <f>(E12+F12-C12)/C12</f>
        <v>-0.920002293421695</v>
      </c>
      <c r="J12" s="23">
        <f>AVERAGE(K9:K12)</f>
        <v>-0.951379204329181</v>
      </c>
      <c r="K12" s="23">
        <f>('Cashflow '!D12-'Cashflow '!C12)/'Cashflow '!C12</f>
        <v>-0.974372358761171</v>
      </c>
    </row>
    <row r="13" ht="20.05" customHeight="1">
      <c r="B13" s="31"/>
      <c r="C13" s="13">
        <v>55.66937</v>
      </c>
      <c r="D13" s="14"/>
      <c r="E13" s="14">
        <v>2.9</v>
      </c>
      <c r="F13" s="14">
        <v>0.81098</v>
      </c>
      <c r="G13" s="32">
        <f>AVERAGE(F10:F13)</f>
        <v>0.923848</v>
      </c>
      <c r="H13" s="12">
        <f>C13/C12-1</f>
        <v>0.137097799442683</v>
      </c>
      <c r="I13" s="12">
        <f>(E13+F13-C13)/C13</f>
        <v>-0.933338925876115</v>
      </c>
      <c r="J13" s="23">
        <f>AVERAGE(K10:K13)</f>
        <v>-0.984430577210462</v>
      </c>
      <c r="K13" s="23">
        <f>('Cashflow '!D13-'Cashflow '!C13)/'Cashflow '!C13</f>
        <v>-1.01409364911726</v>
      </c>
    </row>
    <row r="14" ht="20.05" customHeight="1">
      <c r="B14" s="31"/>
      <c r="C14" s="13">
        <v>56.646872</v>
      </c>
      <c r="D14" s="14"/>
      <c r="E14" s="14">
        <v>2.9</v>
      </c>
      <c r="F14" s="14">
        <v>2.16946</v>
      </c>
      <c r="G14" s="32">
        <f>AVERAGE(F11:F14)</f>
        <v>1.26848225</v>
      </c>
      <c r="H14" s="12">
        <f>C14/C13-1</f>
        <v>0.0175590634490744</v>
      </c>
      <c r="I14" s="12">
        <f>(E14+F14-C14)/C14</f>
        <v>-0.910507679929794</v>
      </c>
      <c r="J14" s="23">
        <f>AVERAGE(K11:K14)</f>
        <v>-0.981620136933141</v>
      </c>
      <c r="K14" s="23">
        <f>('Cashflow '!D14-'Cashflow '!C14)/'Cashflow '!C14</f>
        <v>-0.910775989646361</v>
      </c>
    </row>
    <row r="15" ht="20.05" customHeight="1">
      <c r="B15" s="33">
        <v>2019</v>
      </c>
      <c r="C15" s="13">
        <v>51.623821</v>
      </c>
      <c r="D15" s="14"/>
      <c r="E15" s="14">
        <v>2.875</v>
      </c>
      <c r="F15" s="14">
        <v>1.141686</v>
      </c>
      <c r="G15" s="32">
        <f>AVERAGE(F12:F15)</f>
        <v>1.28465175</v>
      </c>
      <c r="H15" s="12">
        <f>C15/C14-1</f>
        <v>-0.08867305153230701</v>
      </c>
      <c r="I15" s="12">
        <f>(E15+F15-C15)/C15</f>
        <v>-0.922193167375193</v>
      </c>
      <c r="J15" s="23">
        <f>AVERAGE(K12:K15)</f>
        <v>-0.970153537742877</v>
      </c>
      <c r="K15" s="23">
        <f>('Cashflow '!D15-'Cashflow '!C15)/'Cashflow '!C15</f>
        <v>-0.981372153446715</v>
      </c>
    </row>
    <row r="16" ht="20.05" customHeight="1">
      <c r="B16" s="31"/>
      <c r="C16" s="13">
        <v>47.515837</v>
      </c>
      <c r="D16" s="14"/>
      <c r="E16" s="14">
        <v>2.875</v>
      </c>
      <c r="F16" s="14">
        <v>1.133841</v>
      </c>
      <c r="G16" s="32">
        <f>AVERAGE(F13:F16)</f>
        <v>1.31399175</v>
      </c>
      <c r="H16" s="12">
        <f>C16/C15-1</f>
        <v>-0.0795753572754717</v>
      </c>
      <c r="I16" s="12">
        <f>(E16+F16-C16)/C16</f>
        <v>-0.915631476722172</v>
      </c>
      <c r="J16" s="23">
        <f>AVERAGE(K13:K16)</f>
        <v>-0.951494990505517</v>
      </c>
      <c r="K16" s="23">
        <f>('Cashflow '!D16-'Cashflow '!C16)/'Cashflow '!C16</f>
        <v>-0.899738169811732</v>
      </c>
    </row>
    <row r="17" ht="20.05" customHeight="1">
      <c r="B17" s="31"/>
      <c r="C17" s="13">
        <v>52.315842</v>
      </c>
      <c r="D17" s="14"/>
      <c r="E17" s="14">
        <v>2.875</v>
      </c>
      <c r="F17" s="14">
        <v>0.937264</v>
      </c>
      <c r="G17" s="32">
        <f>AVERAGE(F14:F17)</f>
        <v>1.34556275</v>
      </c>
      <c r="H17" s="12">
        <f>C17/C16-1</f>
        <v>0.101019056025468</v>
      </c>
      <c r="I17" s="12">
        <f>(E17+F17-C17)/C17</f>
        <v>-0.927129835738857</v>
      </c>
      <c r="J17" s="23">
        <f>AVERAGE(K14:K17)</f>
        <v>-0.934612489779293</v>
      </c>
      <c r="K17" s="23">
        <f>('Cashflow '!D17-'Cashflow '!C17)/'Cashflow '!C17</f>
        <v>-0.946563646212363</v>
      </c>
    </row>
    <row r="18" ht="20.05" customHeight="1">
      <c r="B18" s="31"/>
      <c r="C18" s="13">
        <v>51.802118</v>
      </c>
      <c r="D18" s="14"/>
      <c r="E18" s="14">
        <v>2.875</v>
      </c>
      <c r="F18" s="14">
        <v>1.297236</v>
      </c>
      <c r="G18" s="32">
        <f>AVERAGE(F15:F18)</f>
        <v>1.12750675</v>
      </c>
      <c r="H18" s="12">
        <f>C18/C17-1</f>
        <v>-0.009819664185085661</v>
      </c>
      <c r="I18" s="12">
        <f>(E18+F18-C18)/C18</f>
        <v>-0.919458196670646</v>
      </c>
      <c r="J18" s="23">
        <f>AVERAGE(K15:K18)</f>
        <v>-0.901305376016725</v>
      </c>
      <c r="K18" s="23">
        <f>('Cashflow '!D18-'Cashflow '!C18)/'Cashflow '!C18</f>
        <v>-0.7775475345960911</v>
      </c>
    </row>
    <row r="19" ht="20.05" customHeight="1">
      <c r="B19" s="33">
        <v>2020</v>
      </c>
      <c r="C19" s="13">
        <v>48.600156</v>
      </c>
      <c r="D19" s="14"/>
      <c r="E19" s="14">
        <v>2.9</v>
      </c>
      <c r="F19" s="14">
        <v>1.104576</v>
      </c>
      <c r="G19" s="32">
        <f>AVERAGE(F16:F19)</f>
        <v>1.11822925</v>
      </c>
      <c r="H19" s="12">
        <f>C19/C18-1</f>
        <v>-0.061811410877061</v>
      </c>
      <c r="I19" s="12">
        <f>(E19+F19-C19)/C19</f>
        <v>-0.917601581361179</v>
      </c>
      <c r="J19" s="23">
        <f>AVERAGE(K16:K19)</f>
        <v>-0.916054335807629</v>
      </c>
      <c r="K19" s="23">
        <f>('Cashflow '!D19-'Cashflow '!C19)/'Cashflow '!C19</f>
        <v>-1.04036799261033</v>
      </c>
    </row>
    <row r="20" ht="20.05" customHeight="1">
      <c r="B20" s="31"/>
      <c r="C20" s="13">
        <v>47.04053</v>
      </c>
      <c r="D20" s="14"/>
      <c r="E20" s="14">
        <v>2.9</v>
      </c>
      <c r="F20" s="14">
        <v>1.442988</v>
      </c>
      <c r="G20" s="32">
        <f>AVERAGE(F17:F20)</f>
        <v>1.195516</v>
      </c>
      <c r="H20" s="12">
        <f>C20/C19-1</f>
        <v>-0.0320909669508057</v>
      </c>
      <c r="I20" s="12">
        <f>(E20+F20-C20)/C20</f>
        <v>-0.907675615049405</v>
      </c>
      <c r="J20" s="23">
        <f>AVERAGE(K17:K20)</f>
        <v>-0.893723382545045</v>
      </c>
      <c r="K20" s="23">
        <f>('Cashflow '!D20-'Cashflow '!C20)/'Cashflow '!C20</f>
        <v>-0.8104143567613969</v>
      </c>
    </row>
    <row r="21" ht="20.05" customHeight="1">
      <c r="B21" s="31"/>
      <c r="C21" s="13">
        <v>49.060131</v>
      </c>
      <c r="D21" s="18"/>
      <c r="E21" s="14">
        <v>2.9</v>
      </c>
      <c r="F21" s="14">
        <v>1.98509</v>
      </c>
      <c r="G21" s="32">
        <f>AVERAGE(F18:F21)</f>
        <v>1.4574725</v>
      </c>
      <c r="H21" s="12">
        <f>C21/C20-1</f>
        <v>0.0429332109991108</v>
      </c>
      <c r="I21" s="12">
        <f>(E21+F21-C21)/C21</f>
        <v>-0.900426478681845</v>
      </c>
      <c r="J21" s="23">
        <f>AVERAGE(K18:K21)</f>
        <v>-0.8584577308793629</v>
      </c>
      <c r="K21" s="23">
        <f>('Cashflow '!D21-'Cashflow '!C21)/'Cashflow '!C21</f>
        <v>-0.805501039549635</v>
      </c>
    </row>
    <row r="22" ht="20.05" customHeight="1">
      <c r="B22" s="31"/>
      <c r="C22" s="13">
        <f>197.8-SUM(C19:C21)</f>
        <v>53.099183</v>
      </c>
      <c r="D22" s="14">
        <v>51.51313755</v>
      </c>
      <c r="E22" s="14">
        <f>11.6-SUM(E19:E21)</f>
        <v>2.9</v>
      </c>
      <c r="F22" s="14">
        <f>8.5-SUM(F19:F21)</f>
        <v>3.967346</v>
      </c>
      <c r="G22" s="32">
        <f>AVERAGE(F19:F22)</f>
        <v>2.125</v>
      </c>
      <c r="H22" s="12">
        <f>C22/C21-1</f>
        <v>0.082328602016982</v>
      </c>
      <c r="I22" s="12">
        <f>(E22+F22-C22)/C22</f>
        <v>-0.870669460206196</v>
      </c>
      <c r="J22" s="23">
        <f>AVERAGE(K19:K22)</f>
        <v>-0.830158782542626</v>
      </c>
      <c r="K22" s="23">
        <f>('Cashflow '!D22-'Cashflow '!C22)/'Cashflow '!C22</f>
        <v>-0.664351741249143</v>
      </c>
    </row>
    <row r="23" ht="20.05" customHeight="1">
      <c r="B23" s="33">
        <v>2021</v>
      </c>
      <c r="C23" s="13">
        <v>56.4</v>
      </c>
      <c r="D23" s="14">
        <v>50.9980061745</v>
      </c>
      <c r="E23" s="14">
        <v>2.9</v>
      </c>
      <c r="F23" s="14">
        <v>2.3</v>
      </c>
      <c r="G23" s="32">
        <f>AVERAGE(F20:F23)</f>
        <v>2.423856</v>
      </c>
      <c r="H23" s="12">
        <f>C23/C22-1</f>
        <v>0.062163235166914</v>
      </c>
      <c r="I23" s="12">
        <f>(E23+F23-C23)/C23</f>
        <v>-0.907801418439716</v>
      </c>
      <c r="J23" s="23">
        <f>AVERAGE(K20:K23)</f>
        <v>-0.845745078963686</v>
      </c>
      <c r="K23" s="23">
        <f>('Cashflow '!D23-'Cashflow '!C23)/'Cashflow '!C23</f>
        <v>-1.10271317829457</v>
      </c>
    </row>
    <row r="24" ht="20.05" customHeight="1">
      <c r="B24" s="31"/>
      <c r="C24" s="13">
        <f>115.4-C23</f>
        <v>59</v>
      </c>
      <c r="D24" s="14">
        <v>55.836</v>
      </c>
      <c r="E24" s="14">
        <f>5.7-E23</f>
        <v>2.8</v>
      </c>
      <c r="F24" s="14">
        <f>5-F23</f>
        <v>2.7</v>
      </c>
      <c r="G24" s="32">
        <f>AVERAGE(F21:F24)</f>
        <v>2.738109</v>
      </c>
      <c r="H24" s="12">
        <f>C24/C23-1</f>
        <v>0.0460992907801418</v>
      </c>
      <c r="I24" s="12">
        <f>(E24+F24-C24)/C24</f>
        <v>-0.906779661016949</v>
      </c>
      <c r="J24" s="23">
        <f>AVERAGE(K21:K24)</f>
        <v>-0.91138966495582</v>
      </c>
      <c r="K24" s="23">
        <f>('Cashflow '!D24-'Cashflow '!C24)/'Cashflow '!C24</f>
        <v>-1.07299270072993</v>
      </c>
    </row>
    <row r="25" ht="20.05" customHeight="1">
      <c r="B25" s="31"/>
      <c r="C25" s="13">
        <f>175.4-SUM(C23:C24)</f>
        <v>60</v>
      </c>
      <c r="D25" s="14">
        <v>64.90000000000001</v>
      </c>
      <c r="E25" s="14">
        <f>8.3-SUM(E23:E24)</f>
        <v>2.6</v>
      </c>
      <c r="F25" s="14">
        <f>7.1-SUM(F23:F24)</f>
        <v>2.1</v>
      </c>
      <c r="G25" s="32">
        <f>AVERAGE(F22:F25)</f>
        <v>2.7668365</v>
      </c>
      <c r="H25" s="12">
        <f>C25/C24-1</f>
        <v>0.0169491525423729</v>
      </c>
      <c r="I25" s="12">
        <f>(E25+F25-C25)/C25</f>
        <v>-0.921666666666667</v>
      </c>
      <c r="J25" s="23">
        <f>AVERAGE(K22:K25)</f>
        <v>-0.938935147058293</v>
      </c>
      <c r="K25" s="23">
        <f>('Cashflow '!D25-'Cashflow '!C25)/'Cashflow '!C25</f>
        <v>-0.915682967959528</v>
      </c>
    </row>
    <row r="26" ht="20.05" customHeight="1">
      <c r="B26" s="31"/>
      <c r="C26" s="13"/>
      <c r="D26" s="14">
        <f>'Model'!C6</f>
        <v>61.8</v>
      </c>
      <c r="E26" s="14"/>
      <c r="F26" s="14"/>
      <c r="G26" s="32">
        <f>'Model'!F21</f>
        <v>2.483979472</v>
      </c>
      <c r="H26" s="34"/>
      <c r="I26" s="12">
        <f>'Model'!C7</f>
        <v>-0.921666666666667</v>
      </c>
      <c r="J26" s="23"/>
      <c r="K26" s="23"/>
    </row>
    <row r="27" ht="20.05" customHeight="1">
      <c r="B27" s="33">
        <v>2022</v>
      </c>
      <c r="C27" s="13"/>
      <c r="D27" s="14">
        <f>'Model'!D6</f>
        <v>61.182</v>
      </c>
      <c r="E27" s="14"/>
      <c r="F27" s="14"/>
      <c r="G27" s="35"/>
      <c r="H27" s="34"/>
      <c r="I27" s="12"/>
      <c r="J27" s="18"/>
      <c r="K27" s="18"/>
    </row>
    <row r="28" ht="20.05" customHeight="1">
      <c r="B28" s="31"/>
      <c r="C28" s="13"/>
      <c r="D28" s="14">
        <f>'Model'!E6</f>
        <v>62.40564</v>
      </c>
      <c r="E28" s="14"/>
      <c r="F28" s="14"/>
      <c r="G28" s="35"/>
      <c r="H28" s="34"/>
      <c r="I28" s="12"/>
      <c r="J28" s="18"/>
      <c r="K28" s="18"/>
    </row>
    <row r="29" ht="20.05" customHeight="1">
      <c r="B29" s="31"/>
      <c r="C29" s="13"/>
      <c r="D29" s="14">
        <f>'Model'!F6</f>
        <v>64.90186559999999</v>
      </c>
      <c r="E29" s="14"/>
      <c r="F29" s="14"/>
      <c r="G29" s="35"/>
      <c r="H29" s="34"/>
      <c r="I29" s="12"/>
      <c r="J29" s="18"/>
      <c r="K29" s="18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2:K26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6.38281" style="36" customWidth="1"/>
    <col min="2" max="11" width="9.5625" style="36" customWidth="1"/>
    <col min="12" max="16384" width="16.3516" style="36" customWidth="1"/>
  </cols>
  <sheetData>
    <row r="1" ht="27.65" customHeight="1">
      <c r="B1" t="s" s="2">
        <v>45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4">
        <v>1</v>
      </c>
      <c r="C2" t="s" s="4">
        <v>46</v>
      </c>
      <c r="D2" t="s" s="4">
        <v>8</v>
      </c>
      <c r="E2" t="s" s="4">
        <v>9</v>
      </c>
      <c r="F2" t="s" s="4">
        <v>11</v>
      </c>
      <c r="G2" t="s" s="4">
        <v>12</v>
      </c>
      <c r="H2" t="s" s="4">
        <v>10</v>
      </c>
      <c r="I2" t="s" s="4">
        <v>47</v>
      </c>
      <c r="J2" t="s" s="4">
        <v>3</v>
      </c>
      <c r="K2" t="s" s="4">
        <v>48</v>
      </c>
    </row>
    <row r="3" ht="20.25" customHeight="1">
      <c r="B3" s="25">
        <v>2016</v>
      </c>
      <c r="C3" s="37">
        <v>41.650995</v>
      </c>
      <c r="D3" s="38">
        <v>-2.613988</v>
      </c>
      <c r="E3" s="38">
        <v>-6.137032</v>
      </c>
      <c r="F3" s="38"/>
      <c r="G3" s="38"/>
      <c r="H3" s="38">
        <v>0.142819</v>
      </c>
      <c r="I3" s="38">
        <f>D3+E3</f>
        <v>-8.75102</v>
      </c>
      <c r="J3" s="38"/>
      <c r="K3" s="38">
        <f>-H3</f>
        <v>-0.142819</v>
      </c>
    </row>
    <row r="4" ht="20.05" customHeight="1">
      <c r="B4" s="31"/>
      <c r="C4" s="15">
        <v>49.465011</v>
      </c>
      <c r="D4" s="16">
        <v>9.953124000000001</v>
      </c>
      <c r="E4" s="16">
        <v>-0.017369</v>
      </c>
      <c r="F4" s="16"/>
      <c r="G4" s="16"/>
      <c r="H4" s="16">
        <v>0.312274</v>
      </c>
      <c r="I4" s="16">
        <f>D4+E4</f>
        <v>9.935755</v>
      </c>
      <c r="J4" s="16"/>
      <c r="K4" s="16">
        <f>-H4+K3</f>
        <v>-0.455093</v>
      </c>
    </row>
    <row r="5" ht="20.05" customHeight="1">
      <c r="B5" s="31"/>
      <c r="C5" s="15">
        <v>46.047641</v>
      </c>
      <c r="D5" s="16">
        <v>-1.347089</v>
      </c>
      <c r="E5" s="16">
        <v>-2.550211</v>
      </c>
      <c r="F5" s="16"/>
      <c r="G5" s="16"/>
      <c r="H5" s="16">
        <v>0.035651</v>
      </c>
      <c r="I5" s="16">
        <f>D5+E5</f>
        <v>-3.8973</v>
      </c>
      <c r="J5" s="16"/>
      <c r="K5" s="16">
        <f>-H5+K4</f>
        <v>-0.490744</v>
      </c>
    </row>
    <row r="6" ht="20.05" customHeight="1">
      <c r="B6" s="31"/>
      <c r="C6" s="15">
        <v>50.878117</v>
      </c>
      <c r="D6" s="16">
        <v>1.970242</v>
      </c>
      <c r="E6" s="16">
        <v>-4.579392</v>
      </c>
      <c r="F6" s="16"/>
      <c r="G6" s="16"/>
      <c r="H6" s="16">
        <v>5.79119</v>
      </c>
      <c r="I6" s="16">
        <f>D6+E6</f>
        <v>-2.60915</v>
      </c>
      <c r="J6" s="16">
        <f>AVERAGE(I3:I6)</f>
        <v>-1.33042875</v>
      </c>
      <c r="K6" s="16">
        <f>-H6+K5</f>
        <v>-6.281934</v>
      </c>
    </row>
    <row r="7" ht="20.05" customHeight="1">
      <c r="B7" s="33">
        <v>2017</v>
      </c>
      <c r="C7" s="15">
        <v>51.168818</v>
      </c>
      <c r="D7" s="16">
        <v>4.915355</v>
      </c>
      <c r="E7" s="16">
        <v>-3.130568</v>
      </c>
      <c r="F7" s="16"/>
      <c r="G7" s="16"/>
      <c r="H7" s="16">
        <v>-2.672019</v>
      </c>
      <c r="I7" s="16">
        <f>D7+E7</f>
        <v>1.784787</v>
      </c>
      <c r="J7" s="16">
        <f>AVERAGE(I4:I7)</f>
        <v>1.303523</v>
      </c>
      <c r="K7" s="16">
        <f>-H7+K6</f>
        <v>-3.609915</v>
      </c>
    </row>
    <row r="8" ht="20.05" customHeight="1">
      <c r="B8" s="31"/>
      <c r="C8" s="15">
        <v>41.851505</v>
      </c>
      <c r="D8" s="16">
        <v>-6.551322</v>
      </c>
      <c r="E8" s="16">
        <v>-0.437614</v>
      </c>
      <c r="F8" s="16"/>
      <c r="G8" s="16"/>
      <c r="H8" s="16">
        <v>3.226192</v>
      </c>
      <c r="I8" s="16">
        <f>D8+E8</f>
        <v>-6.988936</v>
      </c>
      <c r="J8" s="16">
        <f>AVERAGE(I5:I8)</f>
        <v>-2.92764975</v>
      </c>
      <c r="K8" s="16">
        <f>-H8+K7</f>
        <v>-6.836107</v>
      </c>
    </row>
    <row r="9" ht="20.05" customHeight="1">
      <c r="B9" s="31"/>
      <c r="C9" s="15">
        <v>53.136052</v>
      </c>
      <c r="D9" s="16">
        <v>6.275997</v>
      </c>
      <c r="E9" s="16">
        <v>-1.652012</v>
      </c>
      <c r="F9" s="16"/>
      <c r="G9" s="16"/>
      <c r="H9" s="16">
        <v>-1.368751</v>
      </c>
      <c r="I9" s="16">
        <f>D9+E9</f>
        <v>4.623985</v>
      </c>
      <c r="J9" s="16">
        <f>AVERAGE(I6:I9)</f>
        <v>-0.7973285</v>
      </c>
      <c r="K9" s="16">
        <f>-H9+K8</f>
        <v>-5.467356</v>
      </c>
    </row>
    <row r="10" ht="20.05" customHeight="1">
      <c r="B10" s="31"/>
      <c r="C10" s="15">
        <v>48.014632</v>
      </c>
      <c r="D10" s="16">
        <v>3.744289</v>
      </c>
      <c r="E10" s="16">
        <v>-1.78894</v>
      </c>
      <c r="F10" s="16"/>
      <c r="G10" s="16"/>
      <c r="H10" s="16">
        <v>-3.125878</v>
      </c>
      <c r="I10" s="16">
        <f>D10+E10</f>
        <v>1.955349</v>
      </c>
      <c r="J10" s="16">
        <f>AVERAGE(I7:I10)</f>
        <v>0.34379625</v>
      </c>
      <c r="K10" s="16">
        <f>-H10+K9</f>
        <v>-2.341478</v>
      </c>
    </row>
    <row r="11" ht="20.05" customHeight="1">
      <c r="B11" s="33">
        <v>2018</v>
      </c>
      <c r="C11" s="15">
        <v>47.751587</v>
      </c>
      <c r="D11" s="16">
        <v>-1.300684</v>
      </c>
      <c r="E11" s="16">
        <v>-1.750094</v>
      </c>
      <c r="F11" s="16"/>
      <c r="G11" s="16"/>
      <c r="H11" s="16">
        <v>-1.834557</v>
      </c>
      <c r="I11" s="16">
        <f>D11+E11</f>
        <v>-3.050778</v>
      </c>
      <c r="J11" s="16">
        <f>AVERAGE(I8:I11)</f>
        <v>-0.8650949999999999</v>
      </c>
      <c r="K11" s="16">
        <f>-H11+K10</f>
        <v>-0.506921</v>
      </c>
    </row>
    <row r="12" ht="20.05" customHeight="1">
      <c r="B12" s="31"/>
      <c r="C12" s="15">
        <v>51.15024</v>
      </c>
      <c r="D12" s="16">
        <v>1.31086</v>
      </c>
      <c r="E12" s="16">
        <v>-3.070114</v>
      </c>
      <c r="F12" s="16"/>
      <c r="G12" s="16"/>
      <c r="H12" s="16">
        <v>0.860572</v>
      </c>
      <c r="I12" s="16">
        <f>D12+E12</f>
        <v>-1.759254</v>
      </c>
      <c r="J12" s="16">
        <f>AVERAGE(I9:I12)</f>
        <v>0.4423255</v>
      </c>
      <c r="K12" s="16">
        <f>-H12+K11</f>
        <v>-1.367493</v>
      </c>
    </row>
    <row r="13" ht="20.05" customHeight="1">
      <c r="B13" s="31"/>
      <c r="C13" s="15">
        <v>51.312048</v>
      </c>
      <c r="D13" s="16">
        <v>-0.723174</v>
      </c>
      <c r="E13" s="16">
        <v>-2.050252</v>
      </c>
      <c r="F13" s="16"/>
      <c r="G13" s="16"/>
      <c r="H13" s="16">
        <v>1.474724</v>
      </c>
      <c r="I13" s="16">
        <f>D13+E13</f>
        <v>-2.773426</v>
      </c>
      <c r="J13" s="16">
        <f>AVERAGE(I10:I13)</f>
        <v>-1.40702725</v>
      </c>
      <c r="K13" s="16">
        <f>-H13+K12</f>
        <v>-2.842217</v>
      </c>
    </row>
    <row r="14" ht="20.05" customHeight="1">
      <c r="B14" s="31"/>
      <c r="C14" s="15">
        <v>55.618706</v>
      </c>
      <c r="D14" s="16">
        <v>4.962524</v>
      </c>
      <c r="E14" s="16">
        <v>-1.005638</v>
      </c>
      <c r="F14" s="16"/>
      <c r="G14" s="16"/>
      <c r="H14" s="16">
        <v>0.523433</v>
      </c>
      <c r="I14" s="16">
        <f>D14+E14</f>
        <v>3.956886</v>
      </c>
      <c r="J14" s="16">
        <f>AVERAGE(I11:I14)</f>
        <v>-0.906643</v>
      </c>
      <c r="K14" s="16">
        <f>-H14+K13</f>
        <v>-3.36565</v>
      </c>
    </row>
    <row r="15" ht="20.05" customHeight="1">
      <c r="B15" s="33">
        <v>2019</v>
      </c>
      <c r="C15" s="15">
        <v>52.762889</v>
      </c>
      <c r="D15" s="16">
        <v>0.982859</v>
      </c>
      <c r="E15" s="16">
        <v>-0.22619</v>
      </c>
      <c r="F15" s="16"/>
      <c r="G15" s="16"/>
      <c r="H15" s="16">
        <v>-5.79416</v>
      </c>
      <c r="I15" s="16">
        <f>D15+E15</f>
        <v>0.756669</v>
      </c>
      <c r="J15" s="16">
        <f>AVERAGE(I12:I15)</f>
        <v>0.04521875</v>
      </c>
      <c r="K15" s="16">
        <f>-H15+K14</f>
        <v>2.42851</v>
      </c>
    </row>
    <row r="16" ht="20.05" customHeight="1">
      <c r="B16" s="31"/>
      <c r="C16" s="15">
        <v>49.911357</v>
      </c>
      <c r="D16" s="16">
        <v>5.004204</v>
      </c>
      <c r="E16" s="16">
        <v>-0.227792</v>
      </c>
      <c r="F16" s="16"/>
      <c r="G16" s="16"/>
      <c r="H16" s="16">
        <v>-4.933337</v>
      </c>
      <c r="I16" s="16">
        <f>D16+E16</f>
        <v>4.776412</v>
      </c>
      <c r="J16" s="16">
        <f>AVERAGE(I13:I16)</f>
        <v>1.67913525</v>
      </c>
      <c r="K16" s="16">
        <f>-H16+K15</f>
        <v>7.361847</v>
      </c>
    </row>
    <row r="17" ht="20.05" customHeight="1">
      <c r="B17" s="31"/>
      <c r="C17" s="15">
        <v>50.69414</v>
      </c>
      <c r="D17" s="16">
        <v>2.70891</v>
      </c>
      <c r="E17" s="16">
        <v>-0.309671</v>
      </c>
      <c r="F17" s="16"/>
      <c r="G17" s="16"/>
      <c r="H17" s="16">
        <v>-1.664938</v>
      </c>
      <c r="I17" s="16">
        <f>D17+E17</f>
        <v>2.399239</v>
      </c>
      <c r="J17" s="16">
        <f>AVERAGE(I14:I17)</f>
        <v>2.9723015</v>
      </c>
      <c r="K17" s="16">
        <f>-H17+K16</f>
        <v>9.026785</v>
      </c>
    </row>
    <row r="18" ht="20.05" customHeight="1">
      <c r="B18" s="31"/>
      <c r="C18" s="15">
        <v>53.25963</v>
      </c>
      <c r="D18" s="16">
        <v>11.847736</v>
      </c>
      <c r="E18" s="16">
        <v>-0.569316</v>
      </c>
      <c r="F18" s="16"/>
      <c r="G18" s="16"/>
      <c r="H18" s="16">
        <v>-4.569352</v>
      </c>
      <c r="I18" s="16">
        <f>D18+E18</f>
        <v>11.27842</v>
      </c>
      <c r="J18" s="16">
        <f>AVERAGE(I15:I18)</f>
        <v>4.802685</v>
      </c>
      <c r="K18" s="16">
        <f>-H18+K17</f>
        <v>13.596137</v>
      </c>
    </row>
    <row r="19" ht="20.05" customHeight="1">
      <c r="B19" s="33">
        <v>2020</v>
      </c>
      <c r="C19" s="15">
        <v>48.768588</v>
      </c>
      <c r="D19" s="16">
        <v>-1.96869</v>
      </c>
      <c r="E19" s="16">
        <v>-1.054803</v>
      </c>
      <c r="F19" s="16"/>
      <c r="G19" s="16"/>
      <c r="H19" s="16">
        <v>-2.939797</v>
      </c>
      <c r="I19" s="16">
        <f>D19+E19</f>
        <v>-3.023493</v>
      </c>
      <c r="J19" s="16">
        <f>AVERAGE(I16:I19)</f>
        <v>3.8576445</v>
      </c>
      <c r="K19" s="16">
        <f>-H19+K18</f>
        <v>16.535934</v>
      </c>
    </row>
    <row r="20" ht="20.05" customHeight="1">
      <c r="B20" s="31"/>
      <c r="C20" s="15">
        <v>48.237007</v>
      </c>
      <c r="D20" s="16">
        <v>9.145044</v>
      </c>
      <c r="E20" s="16">
        <v>-0.672546</v>
      </c>
      <c r="F20" s="16"/>
      <c r="G20" s="16"/>
      <c r="H20" s="16">
        <v>-1.148516</v>
      </c>
      <c r="I20" s="16">
        <f>D20+E20</f>
        <v>8.472498</v>
      </c>
      <c r="J20" s="16">
        <f>AVERAGE(I17:I20)</f>
        <v>4.781666</v>
      </c>
      <c r="K20" s="16">
        <f>-H20+K19</f>
        <v>17.68445</v>
      </c>
    </row>
    <row r="21" ht="20.05" customHeight="1">
      <c r="B21" s="31"/>
      <c r="C21" s="15">
        <v>51.594939</v>
      </c>
      <c r="D21" s="16">
        <v>10.035162</v>
      </c>
      <c r="E21" s="16">
        <v>-1.447835</v>
      </c>
      <c r="F21" s="16"/>
      <c r="G21" s="16"/>
      <c r="H21" s="16">
        <v>-2.485803</v>
      </c>
      <c r="I21" s="16">
        <f>D21+E21</f>
        <v>8.587327</v>
      </c>
      <c r="J21" s="16">
        <f>AVERAGE(I18:I21)</f>
        <v>6.328688</v>
      </c>
      <c r="K21" s="16">
        <f>-H21+K20</f>
        <v>20.170253</v>
      </c>
    </row>
    <row r="22" ht="20.05" customHeight="1">
      <c r="B22" s="31"/>
      <c r="C22" s="15">
        <f>201.3-SUM(C19:C21)</f>
        <v>52.699466</v>
      </c>
      <c r="D22" s="16">
        <f>34.9-SUM(D19:D21)</f>
        <v>17.688484</v>
      </c>
      <c r="E22" s="16">
        <f>-4-SUM(E19:E21)</f>
        <v>-0.824816</v>
      </c>
      <c r="F22" s="16"/>
      <c r="G22" s="16"/>
      <c r="H22" s="16">
        <f>-14-SUM(H19:H21)</f>
        <v>-7.425884</v>
      </c>
      <c r="I22" s="16">
        <f>D22+E22</f>
        <v>16.863668</v>
      </c>
      <c r="J22" s="16">
        <f>AVERAGE(I19:I22)</f>
        <v>7.725</v>
      </c>
      <c r="K22" s="16">
        <f>-H22+K21</f>
        <v>27.596137</v>
      </c>
    </row>
    <row r="23" ht="20.05" customHeight="1">
      <c r="B23" s="33">
        <v>2021</v>
      </c>
      <c r="C23" s="15">
        <v>51.6</v>
      </c>
      <c r="D23" s="16">
        <v>-5.3</v>
      </c>
      <c r="E23" s="16">
        <v>-0.5</v>
      </c>
      <c r="F23" s="16">
        <v>3.63</v>
      </c>
      <c r="G23" s="16"/>
      <c r="H23" s="16">
        <v>3.6</v>
      </c>
      <c r="I23" s="16">
        <f>D23+E23</f>
        <v>-5.8</v>
      </c>
      <c r="J23" s="16">
        <f>AVERAGE(I20:I23)</f>
        <v>7.03087325</v>
      </c>
      <c r="K23" s="16">
        <f>-H23+K22</f>
        <v>23.996137</v>
      </c>
    </row>
    <row r="24" ht="20.05" customHeight="1">
      <c r="B24" s="31"/>
      <c r="C24" s="15">
        <f>106.4-C23</f>
        <v>54.8</v>
      </c>
      <c r="D24" s="16">
        <f>-9.3-D23</f>
        <v>-4</v>
      </c>
      <c r="E24" s="16">
        <f>-1.3-E23</f>
        <v>-0.8</v>
      </c>
      <c r="F24" s="16">
        <f>6.455-F23-G24</f>
        <v>5.025</v>
      </c>
      <c r="G24" s="16">
        <v>-2.2</v>
      </c>
      <c r="H24" s="16">
        <f>6.5-H23</f>
        <v>2.9</v>
      </c>
      <c r="I24" s="16">
        <f>D24+E24</f>
        <v>-4.8</v>
      </c>
      <c r="J24" s="16">
        <f>SUM('Model'!C9:F10)/4</f>
        <v>1.96816948466667</v>
      </c>
      <c r="K24" s="16">
        <f>-H24+K23</f>
        <v>21.096137</v>
      </c>
    </row>
    <row r="25" ht="20.05" customHeight="1">
      <c r="B25" s="31"/>
      <c r="C25" s="15">
        <f>165.7-SUM(C23:C24)</f>
        <v>59.3</v>
      </c>
      <c r="D25" s="16">
        <f>-4.3-SUM(D23:D24)</f>
        <v>5</v>
      </c>
      <c r="E25" s="16">
        <f>-8.8-SUM(E23:E24)</f>
        <v>-7.5</v>
      </c>
      <c r="F25" s="16">
        <f>4.325-F24-F23-G25-G24</f>
        <v>-2.116</v>
      </c>
      <c r="G25" s="16">
        <f>-2.214-G24</f>
        <v>-0.014</v>
      </c>
      <c r="H25" s="16">
        <f>4.3-SUM(H23:H24)</f>
        <v>-2.2</v>
      </c>
      <c r="I25" s="16">
        <f>D25+E25</f>
        <v>-2.5</v>
      </c>
      <c r="J25" s="16">
        <f>SUM('Model'!C10:F11)/4</f>
        <v>-4.901502818</v>
      </c>
      <c r="K25" s="16">
        <f>-H25+K24</f>
        <v>23.296137</v>
      </c>
    </row>
    <row r="26" ht="20.05" customHeight="1">
      <c r="B26" s="31"/>
      <c r="C26" s="15"/>
      <c r="D26" s="16"/>
      <c r="E26" s="16"/>
      <c r="F26" s="16"/>
      <c r="G26" s="16"/>
      <c r="H26" s="16"/>
      <c r="I26" s="16"/>
      <c r="J26" s="16">
        <f>SUM('Model'!F9:F10)</f>
        <v>2.15064613866667</v>
      </c>
      <c r="K26" s="16">
        <f>'Model'!F33</f>
        <v>31.1688149386668</v>
      </c>
    </row>
  </sheetData>
  <mergeCells count="1">
    <mergeCell ref="B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9" customWidth="1"/>
    <col min="2" max="11" width="9.21875" style="39" customWidth="1"/>
    <col min="12" max="16384" width="16.3516" style="39" customWidth="1"/>
  </cols>
  <sheetData>
    <row r="1" ht="7.55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49</v>
      </c>
      <c r="D3" t="s" s="4">
        <v>50</v>
      </c>
      <c r="E3" t="s" s="4">
        <v>21</v>
      </c>
      <c r="F3" t="s" s="4">
        <v>22</v>
      </c>
      <c r="G3" t="s" s="4">
        <v>11</v>
      </c>
      <c r="H3" t="s" s="4">
        <v>12</v>
      </c>
      <c r="I3" t="s" s="4">
        <v>51</v>
      </c>
      <c r="J3" t="s" s="4">
        <v>25</v>
      </c>
      <c r="K3" t="s" s="4">
        <v>33</v>
      </c>
    </row>
    <row r="4" ht="20.25" customHeight="1">
      <c r="B4" s="25">
        <v>2016</v>
      </c>
      <c r="C4" s="40">
        <v>6.913828</v>
      </c>
      <c r="D4" s="41">
        <v>278.498617</v>
      </c>
      <c r="E4" s="41">
        <f>D4-C4</f>
        <v>271.584789</v>
      </c>
      <c r="F4" s="41">
        <f>F5-'Sales '!E4</f>
        <v>80.53291425</v>
      </c>
      <c r="G4" s="41">
        <v>123.895303</v>
      </c>
      <c r="H4" s="41">
        <v>154.603314</v>
      </c>
      <c r="I4" s="41">
        <f>G4+H4-C4-E4</f>
        <v>0</v>
      </c>
      <c r="J4" s="41">
        <f>C4-G4</f>
        <v>-116.981475</v>
      </c>
      <c r="K4" s="41"/>
    </row>
    <row r="5" ht="20.05" customHeight="1">
      <c r="B5" s="31"/>
      <c r="C5" s="42">
        <v>14.559349</v>
      </c>
      <c r="D5" s="32">
        <v>279.353478</v>
      </c>
      <c r="E5" s="32">
        <f>D5-C5</f>
        <v>264.794129</v>
      </c>
      <c r="F5" s="32">
        <f>F6-'Sales '!E5</f>
        <v>83.4631625</v>
      </c>
      <c r="G5" s="32">
        <v>124.840552</v>
      </c>
      <c r="H5" s="32">
        <v>154.512926</v>
      </c>
      <c r="I5" s="32">
        <f>G5+H5-C5-E5</f>
        <v>0</v>
      </c>
      <c r="J5" s="32">
        <f>C5-G5</f>
        <v>-110.281203</v>
      </c>
      <c r="K5" s="32"/>
    </row>
    <row r="6" ht="20.05" customHeight="1">
      <c r="B6" s="31"/>
      <c r="C6" s="42">
        <v>10.726543</v>
      </c>
      <c r="D6" s="32">
        <v>281.312317</v>
      </c>
      <c r="E6" s="32">
        <f>D6-C6</f>
        <v>270.585774</v>
      </c>
      <c r="F6" s="32">
        <f>F7-'Sales '!E6</f>
        <v>86.39341075</v>
      </c>
      <c r="G6" s="32">
        <v>124.265056</v>
      </c>
      <c r="H6" s="32">
        <v>157.047261</v>
      </c>
      <c r="I6" s="32">
        <f>G6+H6-C6-E6</f>
        <v>0</v>
      </c>
      <c r="J6" s="32">
        <f>C6-G6</f>
        <v>-113.538513</v>
      </c>
      <c r="K6" s="32"/>
    </row>
    <row r="7" ht="20.05" customHeight="1">
      <c r="B7" s="31"/>
      <c r="C7" s="42">
        <v>13.51665</v>
      </c>
      <c r="D7" s="32">
        <v>282.894404</v>
      </c>
      <c r="E7" s="32">
        <f>D7-C7</f>
        <v>269.377754</v>
      </c>
      <c r="F7" s="32">
        <f>F8-'Sales '!E7</f>
        <v>89.32365900000001</v>
      </c>
      <c r="G7" s="32">
        <v>126.938628</v>
      </c>
      <c r="H7" s="32">
        <v>155.955776</v>
      </c>
      <c r="I7" s="32">
        <f>G7+H7-C7-E7</f>
        <v>0</v>
      </c>
      <c r="J7" s="32">
        <f>C7-G7</f>
        <v>-113.421978</v>
      </c>
      <c r="K7" s="32"/>
    </row>
    <row r="8" ht="20.05" customHeight="1">
      <c r="B8" s="33">
        <v>2017</v>
      </c>
      <c r="C8" s="42">
        <v>12.233664</v>
      </c>
      <c r="D8" s="32">
        <v>281.863189</v>
      </c>
      <c r="E8" s="32">
        <f>D8-C8</f>
        <v>269.629525</v>
      </c>
      <c r="F8" s="32">
        <f>F9-'Sales '!E8</f>
        <v>92.23810374999999</v>
      </c>
      <c r="G8" s="32">
        <v>125.053741</v>
      </c>
      <c r="H8" s="32">
        <v>156.809448</v>
      </c>
      <c r="I8" s="32">
        <f>G8+H8-C8-E8</f>
        <v>0</v>
      </c>
      <c r="J8" s="32">
        <f>C8-G8</f>
        <v>-112.820077</v>
      </c>
      <c r="K8" s="32"/>
    </row>
    <row r="9" ht="20.05" customHeight="1">
      <c r="B9" s="31"/>
      <c r="C9" s="42">
        <v>9.636765</v>
      </c>
      <c r="D9" s="32">
        <v>286.163459</v>
      </c>
      <c r="E9" s="32">
        <f>D9-C9</f>
        <v>276.526694</v>
      </c>
      <c r="F9" s="32">
        <f>F10-'Sales '!E9</f>
        <v>95.15254849999999</v>
      </c>
      <c r="G9" s="32">
        <v>129.927087</v>
      </c>
      <c r="H9" s="32">
        <v>156.236372</v>
      </c>
      <c r="I9" s="32">
        <f>G9+H9-C9-E9</f>
        <v>0</v>
      </c>
      <c r="J9" s="32">
        <f>C9-G9</f>
        <v>-120.290322</v>
      </c>
      <c r="K9" s="32"/>
    </row>
    <row r="10" ht="20.05" customHeight="1">
      <c r="B10" s="31"/>
      <c r="C10" s="42">
        <v>12.543479</v>
      </c>
      <c r="D10" s="32">
        <v>286.144761</v>
      </c>
      <c r="E10" s="32">
        <f>D10-C10</f>
        <v>273.601282</v>
      </c>
      <c r="F10" s="32">
        <f>F11-'Sales '!E10</f>
        <v>98.06699325</v>
      </c>
      <c r="G10" s="32">
        <v>127.90445</v>
      </c>
      <c r="H10" s="32">
        <v>158.240311</v>
      </c>
      <c r="I10" s="32">
        <f>G10+H10-C10-E10</f>
        <v>0</v>
      </c>
      <c r="J10" s="32">
        <f>C10-G10</f>
        <v>-115.360971</v>
      </c>
      <c r="K10" s="32"/>
    </row>
    <row r="11" ht="20.05" customHeight="1">
      <c r="B11" s="31"/>
      <c r="C11" s="42">
        <v>11.554129</v>
      </c>
      <c r="D11" s="32">
        <v>287.793458</v>
      </c>
      <c r="E11" s="32">
        <f>D11-C11</f>
        <v>276.239329</v>
      </c>
      <c r="F11" s="32">
        <f>F12-'Sales '!E11</f>
        <v>100.981438</v>
      </c>
      <c r="G11" s="32">
        <v>128.34925</v>
      </c>
      <c r="H11" s="32">
        <v>159.444208</v>
      </c>
      <c r="I11" s="32">
        <f>G11+H11-C11-E11</f>
        <v>0</v>
      </c>
      <c r="J11" s="32">
        <f>C11-G11</f>
        <v>-116.795121</v>
      </c>
      <c r="K11" s="32"/>
    </row>
    <row r="12" ht="20.05" customHeight="1">
      <c r="B12" s="33">
        <v>2018</v>
      </c>
      <c r="C12" s="42">
        <v>7.491777</v>
      </c>
      <c r="D12" s="32">
        <v>290.607959</v>
      </c>
      <c r="E12" s="32">
        <f>D12-C12</f>
        <v>283.116182</v>
      </c>
      <c r="F12" s="32">
        <f>F13-'Sales '!E12</f>
        <v>103.881438</v>
      </c>
      <c r="G12" s="32">
        <v>128.063137</v>
      </c>
      <c r="H12" s="32">
        <v>162.544822</v>
      </c>
      <c r="I12" s="32">
        <f>G12+H12-C12-E12</f>
        <v>0</v>
      </c>
      <c r="J12" s="32">
        <f>C12-G12</f>
        <v>-120.57136</v>
      </c>
      <c r="K12" s="32"/>
    </row>
    <row r="13" ht="20.05" customHeight="1">
      <c r="B13" s="31"/>
      <c r="C13" s="42">
        <v>8.971762999999999</v>
      </c>
      <c r="D13" s="32">
        <v>289.146958</v>
      </c>
      <c r="E13" s="32">
        <f>D13-C13</f>
        <v>280.175195</v>
      </c>
      <c r="F13" s="32">
        <f>F14-'Sales '!E13</f>
        <v>106.781438</v>
      </c>
      <c r="G13" s="32">
        <v>128.54937</v>
      </c>
      <c r="H13" s="32">
        <v>160.597588</v>
      </c>
      <c r="I13" s="32">
        <f>G13+H13-C13-E13</f>
        <v>0</v>
      </c>
      <c r="J13" s="32">
        <f>C13-G13</f>
        <v>-119.577607</v>
      </c>
      <c r="K13" s="32"/>
    </row>
    <row r="14" ht="20.05" customHeight="1">
      <c r="B14" s="31"/>
      <c r="C14" s="42">
        <v>8.40855</v>
      </c>
      <c r="D14" s="32">
        <v>288.228498</v>
      </c>
      <c r="E14" s="32">
        <f>D14-C14</f>
        <v>279.819948</v>
      </c>
      <c r="F14" s="32">
        <f>F15-'Sales '!E14</f>
        <v>109.681438</v>
      </c>
      <c r="G14" s="32">
        <v>129.138514</v>
      </c>
      <c r="H14" s="32">
        <v>159.089984</v>
      </c>
      <c r="I14" s="32">
        <f>G14+H14-C14-E14</f>
        <v>0</v>
      </c>
      <c r="J14" s="32">
        <f>C14-G14</f>
        <v>-120.729964</v>
      </c>
      <c r="K14" s="32"/>
    </row>
    <row r="15" ht="20.05" customHeight="1">
      <c r="B15" s="31"/>
      <c r="C15" s="42">
        <v>12.11846</v>
      </c>
      <c r="D15" s="32">
        <v>292.126972</v>
      </c>
      <c r="E15" s="32">
        <f>D15-C15</f>
        <v>280.008512</v>
      </c>
      <c r="F15" s="32">
        <f>F16-'Sales '!E15</f>
        <v>112.581438</v>
      </c>
      <c r="G15" s="32">
        <v>130.444172</v>
      </c>
      <c r="H15" s="32">
        <v>161.6828</v>
      </c>
      <c r="I15" s="32">
        <f>G15+H15-C15-E15</f>
        <v>0</v>
      </c>
      <c r="J15" s="32">
        <f>C15-G15</f>
        <v>-118.325712</v>
      </c>
      <c r="K15" s="32"/>
    </row>
    <row r="16" ht="20.05" customHeight="1">
      <c r="B16" s="33">
        <v>2019</v>
      </c>
      <c r="C16" s="42">
        <v>9.063871000000001</v>
      </c>
      <c r="D16" s="32">
        <v>290.358859</v>
      </c>
      <c r="E16" s="32">
        <f>D16-C16</f>
        <v>281.294988</v>
      </c>
      <c r="F16" s="32">
        <f>F17-'Sales '!E16</f>
        <v>115.456438</v>
      </c>
      <c r="G16" s="32">
        <v>126.424826</v>
      </c>
      <c r="H16" s="32">
        <v>163.934033</v>
      </c>
      <c r="I16" s="32">
        <f>G16+H16-C16-E16</f>
        <v>0</v>
      </c>
      <c r="J16" s="32">
        <f>C16-G16</f>
        <v>-117.360955</v>
      </c>
      <c r="K16" s="32"/>
    </row>
    <row r="17" ht="20.05" customHeight="1">
      <c r="B17" s="31"/>
      <c r="C17" s="42">
        <v>6.177959</v>
      </c>
      <c r="D17" s="32">
        <v>280.308485</v>
      </c>
      <c r="E17" s="32">
        <f>D17-C17</f>
        <v>274.130526</v>
      </c>
      <c r="F17" s="32">
        <f>F18-'Sales '!E17</f>
        <v>118.331438</v>
      </c>
      <c r="G17" s="32">
        <v>117.825473</v>
      </c>
      <c r="H17" s="32">
        <v>162.483012</v>
      </c>
      <c r="I17" s="32">
        <f>G17+H17-C17-E17</f>
        <v>0</v>
      </c>
      <c r="J17" s="32">
        <f>C17-G17</f>
        <v>-111.647514</v>
      </c>
      <c r="K17" s="32"/>
    </row>
    <row r="18" ht="20.05" customHeight="1">
      <c r="B18" s="31"/>
      <c r="C18" s="42">
        <v>8.129030999999999</v>
      </c>
      <c r="D18" s="32">
        <v>278.975847</v>
      </c>
      <c r="E18" s="32">
        <f>D18-C18</f>
        <v>270.846816</v>
      </c>
      <c r="F18" s="32">
        <f>F19-'Sales '!E18</f>
        <v>121.206438</v>
      </c>
      <c r="G18" s="32">
        <v>117.167261</v>
      </c>
      <c r="H18" s="32">
        <v>161.808586</v>
      </c>
      <c r="I18" s="32">
        <f>G18+H18-C18-E18</f>
        <v>0</v>
      </c>
      <c r="J18" s="32">
        <f>C18-G18</f>
        <v>-109.03823</v>
      </c>
      <c r="K18" s="32"/>
    </row>
    <row r="19" ht="20.05" customHeight="1">
      <c r="B19" s="31"/>
      <c r="C19" s="42">
        <v>11.987549</v>
      </c>
      <c r="D19" s="32">
        <v>277.540954</v>
      </c>
      <c r="E19" s="32">
        <f>D19-C19</f>
        <v>265.553405</v>
      </c>
      <c r="F19" s="32">
        <f>F20-'Sales '!E19</f>
        <v>124.081438</v>
      </c>
      <c r="G19" s="32">
        <v>114.135764</v>
      </c>
      <c r="H19" s="32">
        <v>163.40519</v>
      </c>
      <c r="I19" s="32">
        <f>G19+H19-C19-E19</f>
        <v>0</v>
      </c>
      <c r="J19" s="32">
        <f>C19-G19</f>
        <v>-102.148215</v>
      </c>
      <c r="K19" s="32"/>
    </row>
    <row r="20" ht="20.05" customHeight="1">
      <c r="B20" s="33">
        <v>2020</v>
      </c>
      <c r="C20" s="42">
        <v>9.285826999999999</v>
      </c>
      <c r="D20" s="32">
        <v>274.285254</v>
      </c>
      <c r="E20" s="32">
        <f>D20-C20</f>
        <v>264.999427</v>
      </c>
      <c r="F20" s="32">
        <f>F21-'Sales '!E20</f>
        <v>126.981438</v>
      </c>
      <c r="G20" s="32">
        <v>110.747388</v>
      </c>
      <c r="H20" s="32">
        <v>163.537866</v>
      </c>
      <c r="I20" s="32">
        <f>G20+H20-C20-E20</f>
        <v>0</v>
      </c>
      <c r="J20" s="32">
        <f>C20-G20</f>
        <v>-101.461561</v>
      </c>
      <c r="K20" s="32"/>
    </row>
    <row r="21" ht="20.05" customHeight="1">
      <c r="B21" s="31"/>
      <c r="C21" s="42">
        <v>12.021537</v>
      </c>
      <c r="D21" s="32">
        <v>272.409213</v>
      </c>
      <c r="E21" s="32">
        <f>D21-C21</f>
        <v>260.387676</v>
      </c>
      <c r="F21" s="32">
        <f>F22-'Sales '!E21</f>
        <v>129.881438</v>
      </c>
      <c r="G21" s="32">
        <v>107.394533</v>
      </c>
      <c r="H21" s="32">
        <v>165.01468</v>
      </c>
      <c r="I21" s="32">
        <f>G21+H21-C21-E21</f>
        <v>0</v>
      </c>
      <c r="J21" s="32">
        <f>C21-G21</f>
        <v>-95.372996</v>
      </c>
      <c r="K21" s="32"/>
    </row>
    <row r="22" ht="20.05" customHeight="1">
      <c r="B22" s="31"/>
      <c r="C22" s="42">
        <v>18.232649</v>
      </c>
      <c r="D22" s="32">
        <v>275.294031</v>
      </c>
      <c r="E22" s="32">
        <f>D22-C22</f>
        <v>257.061382</v>
      </c>
      <c r="F22" s="32">
        <v>132.781438</v>
      </c>
      <c r="G22" s="32">
        <v>106.126005</v>
      </c>
      <c r="H22" s="32">
        <v>169.168026</v>
      </c>
      <c r="I22" s="32">
        <f>G22+H22-C22-E22</f>
        <v>0</v>
      </c>
      <c r="J22" s="32">
        <f>C22-G22</f>
        <v>-87.893356</v>
      </c>
      <c r="K22" s="32"/>
    </row>
    <row r="23" ht="20.05" customHeight="1">
      <c r="B23" s="31"/>
      <c r="C23" s="42">
        <v>28.21</v>
      </c>
      <c r="D23" s="32">
        <v>280.5</v>
      </c>
      <c r="E23" s="32">
        <f>D23-C23</f>
        <v>252.29</v>
      </c>
      <c r="F23" s="20">
        <v>136.953419</v>
      </c>
      <c r="G23" s="32">
        <v>104.6</v>
      </c>
      <c r="H23" s="32">
        <v>175.89</v>
      </c>
      <c r="I23" s="32">
        <f>G23+H23-C23-E23</f>
        <v>-0.01</v>
      </c>
      <c r="J23" s="32">
        <f>C23-G23</f>
        <v>-76.39</v>
      </c>
      <c r="K23" s="32"/>
    </row>
    <row r="24" ht="20.05" customHeight="1">
      <c r="B24" s="33">
        <v>2021</v>
      </c>
      <c r="C24" s="42">
        <v>25.575707</v>
      </c>
      <c r="D24" s="32">
        <v>284.838068</v>
      </c>
      <c r="E24" s="32">
        <f>D24-C24</f>
        <v>259.262361</v>
      </c>
      <c r="F24" s="20">
        <f>139.639718</f>
        <v>139.639718</v>
      </c>
      <c r="G24" s="32">
        <v>107.139251</v>
      </c>
      <c r="H24" s="32">
        <v>177.698817</v>
      </c>
      <c r="I24" s="32">
        <f>G24+H24-C24-E24</f>
        <v>0</v>
      </c>
      <c r="J24" s="32">
        <f>C24-G24</f>
        <v>-81.56354399999999</v>
      </c>
      <c r="K24" s="32"/>
    </row>
    <row r="25" ht="20.05" customHeight="1">
      <c r="B25" s="31"/>
      <c r="C25" s="42">
        <v>23.90987</v>
      </c>
      <c r="D25" s="32">
        <v>291.159696</v>
      </c>
      <c r="E25" s="32">
        <f>D25-C25</f>
        <v>267.249826</v>
      </c>
      <c r="F25" s="20">
        <f>142.898956</f>
        <v>142.898956</v>
      </c>
      <c r="G25" s="32">
        <v>111.940194</v>
      </c>
      <c r="H25" s="32">
        <v>179.219502</v>
      </c>
      <c r="I25" s="32">
        <f>G25+H25-C25-E25</f>
        <v>0</v>
      </c>
      <c r="J25" s="32">
        <f>C25-G25</f>
        <v>-88.03032399999999</v>
      </c>
      <c r="K25" s="32"/>
    </row>
    <row r="26" ht="20.05" customHeight="1">
      <c r="B26" s="31"/>
      <c r="C26" s="42">
        <v>19</v>
      </c>
      <c r="D26" s="32">
        <v>290</v>
      </c>
      <c r="E26" s="32">
        <f>D26-C26</f>
        <v>271</v>
      </c>
      <c r="F26" s="20">
        <v>145</v>
      </c>
      <c r="G26" s="32">
        <v>109</v>
      </c>
      <c r="H26" s="32">
        <v>181</v>
      </c>
      <c r="I26" s="32">
        <f>G26+H26-C26-E26</f>
        <v>0</v>
      </c>
      <c r="J26" s="32">
        <f>C26-G26</f>
        <v>-90</v>
      </c>
      <c r="K26" s="32">
        <f>J26</f>
        <v>-90</v>
      </c>
    </row>
    <row r="27" ht="20.05" customHeight="1">
      <c r="B27" s="31"/>
      <c r="C27" s="42"/>
      <c r="D27" s="32"/>
      <c r="E27" s="32">
        <f>D27-C27</f>
        <v>0</v>
      </c>
      <c r="F27" s="20"/>
      <c r="G27" s="32"/>
      <c r="H27" s="32"/>
      <c r="I27" s="32"/>
      <c r="J27" s="32"/>
      <c r="K27" s="32">
        <f>'Model'!F30</f>
        <v>-84.88912544293331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43" customWidth="1"/>
    <col min="2" max="4" width="9.9375" style="43" customWidth="1"/>
    <col min="5" max="16384" width="16.3516" style="43" customWidth="1"/>
  </cols>
  <sheetData>
    <row r="1" ht="30.75" customHeight="1"/>
    <row r="2" ht="27.65" customHeight="1">
      <c r="B2" t="s" s="2">
        <v>52</v>
      </c>
      <c r="C2" s="2"/>
      <c r="D2" s="2"/>
    </row>
    <row r="3" ht="20.25" customHeight="1">
      <c r="B3" s="5"/>
      <c r="C3" t="s" s="44">
        <v>53</v>
      </c>
      <c r="D3" t="s" s="44">
        <v>54</v>
      </c>
    </row>
    <row r="4" ht="20.25" customHeight="1">
      <c r="B4" s="25">
        <v>2018</v>
      </c>
      <c r="C4" s="45">
        <v>130</v>
      </c>
      <c r="D4" s="8"/>
    </row>
    <row r="5" ht="20.05" customHeight="1">
      <c r="B5" s="31"/>
      <c r="C5" s="19">
        <v>108</v>
      </c>
      <c r="D5" s="18"/>
    </row>
    <row r="6" ht="20.05" customHeight="1">
      <c r="B6" s="31"/>
      <c r="C6" s="19">
        <v>99</v>
      </c>
      <c r="D6" s="18"/>
    </row>
    <row r="7" ht="20.05" customHeight="1">
      <c r="B7" s="31"/>
      <c r="C7" s="19">
        <v>89</v>
      </c>
      <c r="D7" s="18"/>
    </row>
    <row r="8" ht="20.05" customHeight="1">
      <c r="B8" s="33">
        <v>2019</v>
      </c>
      <c r="C8" s="19">
        <v>95</v>
      </c>
      <c r="D8" s="18"/>
    </row>
    <row r="9" ht="20.05" customHeight="1">
      <c r="B9" s="31"/>
      <c r="C9" s="19">
        <v>100</v>
      </c>
      <c r="D9" s="18"/>
    </row>
    <row r="10" ht="20.05" customHeight="1">
      <c r="B10" s="31"/>
      <c r="C10" s="19">
        <v>100</v>
      </c>
      <c r="D10" s="18"/>
    </row>
    <row r="11" ht="20.05" customHeight="1">
      <c r="B11" s="31"/>
      <c r="C11" s="19">
        <v>93</v>
      </c>
      <c r="D11" s="18"/>
    </row>
    <row r="12" ht="20.05" customHeight="1">
      <c r="B12" s="33">
        <v>2020</v>
      </c>
      <c r="C12" s="19">
        <v>53</v>
      </c>
      <c r="D12" s="18"/>
    </row>
    <row r="13" ht="20.05" customHeight="1">
      <c r="B13" s="31"/>
      <c r="C13" s="19">
        <v>72</v>
      </c>
      <c r="D13" s="18"/>
    </row>
    <row r="14" ht="20.05" customHeight="1">
      <c r="B14" s="31"/>
      <c r="C14" s="19">
        <v>84</v>
      </c>
      <c r="D14" s="18"/>
    </row>
    <row r="15" ht="20.05" customHeight="1">
      <c r="B15" s="31"/>
      <c r="C15" s="19">
        <v>160</v>
      </c>
      <c r="D15" s="18"/>
    </row>
    <row r="16" ht="20.05" customHeight="1">
      <c r="B16" s="33">
        <v>2021</v>
      </c>
      <c r="C16" s="19">
        <v>170.942535</v>
      </c>
      <c r="D16" s="18"/>
    </row>
    <row r="17" ht="20.05" customHeight="1">
      <c r="B17" s="31"/>
      <c r="C17" s="19">
        <v>158</v>
      </c>
      <c r="D17" s="18"/>
    </row>
    <row r="18" ht="20.05" customHeight="1">
      <c r="B18" s="31"/>
      <c r="C18" s="19">
        <v>163</v>
      </c>
      <c r="D18" s="18"/>
    </row>
    <row r="19" ht="20.05" customHeight="1">
      <c r="B19" s="31"/>
      <c r="C19" s="19">
        <v>177</v>
      </c>
      <c r="D19" s="46">
        <f>C19</f>
        <v>177</v>
      </c>
    </row>
    <row r="20" ht="20.05" customHeight="1">
      <c r="B20" s="31"/>
      <c r="C20" s="19"/>
      <c r="D20" s="20">
        <f>'Model'!F43</f>
        <v>171.027141426207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