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<sst xmlns="http://schemas.openxmlformats.org/spreadsheetml/2006/main" uniqueCount="56">
  <si>
    <t>Financial model</t>
  </si>
  <si>
    <t>$</t>
  </si>
  <si>
    <t>4Q 2021</t>
  </si>
  <si>
    <t>Cashflow</t>
  </si>
  <si>
    <t xml:space="preserve">Growth </t>
  </si>
  <si>
    <t>Sales</t>
  </si>
  <si>
    <t xml:space="preserve">Cost ratio </t>
  </si>
  <si>
    <t>Cash costs</t>
  </si>
  <si>
    <t xml:space="preserve">Operating </t>
  </si>
  <si>
    <t xml:space="preserve">Investment 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</si>
  <si>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</si>
  <si>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</si>
  <si>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</si>
  <si>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</si>
  <si>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</si>
  <si>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</si>
  <si>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</si>
  <si>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>Change</t>
  </si>
  <si>
    <t>Ending</t>
  </si>
  <si>
    <t>Profit</t>
  </si>
  <si>
    <t>Non cash costs</t>
  </si>
  <si>
    <t>Balance sheet</t>
  </si>
  <si>
    <t xml:space="preserve">Other assets </t>
  </si>
  <si>
    <t xml:space="preserve">Depreciation </t>
  </si>
  <si>
    <t xml:space="preserve">Net other assets </t>
  </si>
  <si>
    <t>Check</t>
  </si>
  <si>
    <t>Net cash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</si>
  <si>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</si>
  <si>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</si>
  <si>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</si>
  <si>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</si>
  <si>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</si>
  <si>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</si>
  <si>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</si>
  <si>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</si>
  <si>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</si>
  <si>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 xml:space="preserve">Shares </t>
  </si>
  <si>
    <t xml:space="preserve">Target </t>
  </si>
  <si>
    <t xml:space="preserve">Current </t>
  </si>
  <si>
    <t xml:space="preserve">V current </t>
  </si>
  <si>
    <t xml:space="preserve">12 month growth </t>
  </si>
  <si>
    <t xml:space="preserve">Sales v forecast </t>
  </si>
  <si>
    <t>Profit quarterly</t>
  </si>
  <si>
    <t>$m</t>
  </si>
  <si>
    <t xml:space="preserve">Net profit </t>
  </si>
  <si>
    <t xml:space="preserve">Sales growth </t>
  </si>
  <si>
    <t>Cost ratio</t>
  </si>
  <si>
    <t>Cashflow costs</t>
  </si>
  <si>
    <t>Receipts</t>
  </si>
  <si>
    <t>Lease payment</t>
  </si>
  <si>
    <t xml:space="preserve">Free cashflow </t>
  </si>
  <si>
    <t>Cash</t>
  </si>
  <si>
    <t>Assets</t>
  </si>
  <si>
    <t>Other Assets</t>
  </si>
  <si>
    <t>INKP</t>
  </si>
  <si>
    <t>Target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</si>
</sst>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%_);[Red]\(#,##0%\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5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38" fontId="0" fillId="5" borderId="6" applyNumberFormat="1" applyFont="1" applyFill="1" applyBorder="1" applyAlignment="1" applyProtection="0">
      <alignment vertical="top" wrapText="1"/>
    </xf>
    <xf numFmtId="38" fontId="0" fillId="5" borderId="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8" fontId="3" borderId="3" applyNumberFormat="1" applyFont="1" applyFill="0" applyBorder="1" applyAlignment="1" applyProtection="0">
      <alignment horizontal="right" vertical="center" wrapText="1" readingOrder="1"/>
    </xf>
    <xf numFmtId="38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fffff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516349</xdr:colOff>
      <xdr:row>0</xdr:row>
      <xdr:rowOff>301041</xdr:rowOff>
    </xdr:from>
    <xdr:to>
      <xdr:col>12</xdr:col>
      <xdr:colOff>566440</xdr:colOff>
      <xdr:row>46</xdr:row>
      <xdr:rowOff>77491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56549" y="301041"/>
          <a:ext cx="8762292" cy="115912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203" style="1" customWidth="1"/>
    <col min="2" max="5" width="9.46094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3">
        <v>2</v>
      </c>
      <c r="C2" s="4"/>
      <c r="D2" s="4"/>
      <c r="E2" s="4"/>
    </row>
    <row r="3" ht="20.25" customHeight="1">
      <c r="A3" t="s" s="5">
        <v>3</v>
      </c>
      <c r="B3" s="6">
        <f>AVERAGE('Sales'!G27:G30)</f>
        <v>0.0566388925153732</v>
      </c>
      <c r="C3" s="7"/>
      <c r="D3" s="7"/>
      <c r="E3" s="8">
        <f>AVERAGE(B4:E4)</f>
        <v>0.0225</v>
      </c>
    </row>
    <row r="4" ht="20.05" customHeight="1">
      <c r="A4" t="s" s="9">
        <v>4</v>
      </c>
      <c r="B4" s="10">
        <v>-0.02</v>
      </c>
      <c r="C4" s="11">
        <v>0.01</v>
      </c>
      <c r="D4" s="11">
        <v>0.03</v>
      </c>
      <c r="E4" s="11">
        <v>0.07000000000000001</v>
      </c>
    </row>
    <row r="5" ht="20.05" customHeight="1">
      <c r="A5" t="s" s="9">
        <v>5</v>
      </c>
      <c r="B5" s="12">
        <f>'Sales'!C30*(1+B4)</f>
        <v>862.008</v>
      </c>
      <c r="C5" s="13">
        <f>B5*(1+C4)</f>
        <v>870.62808</v>
      </c>
      <c r="D5" s="13">
        <f>C5*(1+D4)</f>
        <v>896.7469224</v>
      </c>
      <c r="E5" s="13">
        <f>D5*(1+E4)</f>
        <v>959.519206968</v>
      </c>
    </row>
    <row r="6" ht="20.05" customHeight="1">
      <c r="A6" t="s" s="9">
        <v>6</v>
      </c>
      <c r="B6" s="14">
        <f>'Sales'!H30</f>
        <v>-0.797066848567531</v>
      </c>
      <c r="C6" s="15">
        <f>B6</f>
        <v>-0.797066848567531</v>
      </c>
      <c r="D6" s="15">
        <f>C6</f>
        <v>-0.797066848567531</v>
      </c>
      <c r="E6" s="15">
        <f>D6</f>
        <v>-0.797066848567531</v>
      </c>
    </row>
    <row r="7" ht="20.05" customHeight="1">
      <c r="A7" t="s" s="9">
        <v>7</v>
      </c>
      <c r="B7" s="16">
        <f>B5*B6</f>
        <v>-687.078</v>
      </c>
      <c r="C7" s="13">
        <f>C5*C6</f>
        <v>-693.9487800000001</v>
      </c>
      <c r="D7" s="13">
        <f>D5*D6</f>
        <v>-714.7672434</v>
      </c>
      <c r="E7" s="13">
        <f>E5*E6</f>
        <v>-764.800950438</v>
      </c>
    </row>
    <row r="8" ht="20.05" customHeight="1">
      <c r="A8" t="s" s="9">
        <v>8</v>
      </c>
      <c r="B8" s="16">
        <f>B5+B7</f>
        <v>174.93</v>
      </c>
      <c r="C8" s="13">
        <f>C5+C7</f>
        <v>176.6793</v>
      </c>
      <c r="D8" s="13">
        <f>D5+D7</f>
        <v>181.979679</v>
      </c>
      <c r="E8" s="13">
        <f>E5+E7</f>
        <v>194.71825653</v>
      </c>
    </row>
    <row r="9" ht="20.05" customHeight="1">
      <c r="A9" t="s" s="9">
        <v>9</v>
      </c>
      <c r="B9" s="16">
        <f>AVERAGE('Cashflow'!F29:F30)</f>
        <v>-62.35</v>
      </c>
      <c r="C9" s="13">
        <f>B9</f>
        <v>-62.35</v>
      </c>
      <c r="D9" s="13">
        <f>C9</f>
        <v>-62.35</v>
      </c>
      <c r="E9" s="13">
        <f>D9</f>
        <v>-62.35</v>
      </c>
    </row>
    <row r="10" ht="20.05" customHeight="1">
      <c r="A10" t="s" s="9">
        <v>10</v>
      </c>
      <c r="B10" s="16">
        <f>'Cashflow'!D30</f>
        <v>-6.4</v>
      </c>
      <c r="C10" s="13">
        <f>B10</f>
        <v>-6.4</v>
      </c>
      <c r="D10" s="13">
        <f>C10</f>
        <v>-6.4</v>
      </c>
      <c r="E10" s="13">
        <f>D10</f>
        <v>-6.4</v>
      </c>
    </row>
    <row r="11" ht="20.05" customHeight="1">
      <c r="A11" t="s" s="9">
        <v>11</v>
      </c>
      <c r="B11" s="16">
        <f>B12+B13+B15</f>
        <v>-112.58</v>
      </c>
      <c r="C11" s="13">
        <f>C12+C13+C15</f>
        <v>-114.3293</v>
      </c>
      <c r="D11" s="13">
        <f>D12+D13+D15</f>
        <v>-119.629679</v>
      </c>
      <c r="E11" s="13">
        <f>E12+E13+E15</f>
        <v>-132.36825653</v>
      </c>
    </row>
    <row r="12" ht="20.05" customHeight="1">
      <c r="A12" t="s" s="9">
        <v>12</v>
      </c>
      <c r="B12" s="16">
        <f>-'Balance sheet'!G30/20</f>
        <v>-199.9</v>
      </c>
      <c r="C12" s="13">
        <f>-B26/20</f>
        <v>-189.905</v>
      </c>
      <c r="D12" s="13">
        <f>-C26/20</f>
        <v>-180.40975</v>
      </c>
      <c r="E12" s="13">
        <f>-D26/20</f>
        <v>-171.3892625</v>
      </c>
    </row>
    <row r="13" ht="20.05" customHeight="1">
      <c r="A13" t="s" s="9">
        <v>13</v>
      </c>
      <c r="B13" s="12">
        <f>IF(B21&gt;0,-B21*0.3,0)</f>
        <v>-31.329</v>
      </c>
      <c r="C13" s="17">
        <f>IF(C21&gt;0,-C21*0.3,0)</f>
        <v>-31.85379</v>
      </c>
      <c r="D13" s="17">
        <f>IF(D21&gt;0,-D21*0.3,0)</f>
        <v>-33.4439037</v>
      </c>
      <c r="E13" s="17">
        <f>IF(E21&gt;0,-E21*0.3,0)</f>
        <v>-37.265476959</v>
      </c>
    </row>
    <row r="14" ht="20.05" customHeight="1">
      <c r="A14" t="s" s="9">
        <v>14</v>
      </c>
      <c r="B14" s="16">
        <f>B8+B9+B12+B13</f>
        <v>-118.649</v>
      </c>
      <c r="C14" s="13">
        <f>C8+C9+C12+C13</f>
        <v>-107.42949</v>
      </c>
      <c r="D14" s="13">
        <f>D8+D9+D12+D13</f>
        <v>-94.2239747</v>
      </c>
      <c r="E14" s="13">
        <f>E8+E9+E12+E13</f>
        <v>-76.286482929</v>
      </c>
    </row>
    <row r="15" ht="20.05" customHeight="1">
      <c r="A15" t="s" s="9">
        <v>15</v>
      </c>
      <c r="B15" s="16">
        <f>-MIN(0,B14)</f>
        <v>118.649</v>
      </c>
      <c r="C15" s="13">
        <f>-MIN(B27,C14)</f>
        <v>107.42949</v>
      </c>
      <c r="D15" s="13">
        <f>-MIN(C27,D14)</f>
        <v>94.2239747</v>
      </c>
      <c r="E15" s="13">
        <f>-MIN(D27,E14)</f>
        <v>76.286482929</v>
      </c>
    </row>
    <row r="16" ht="20.05" customHeight="1">
      <c r="A16" t="s" s="9">
        <v>16</v>
      </c>
      <c r="B16" s="16">
        <f>'Balance sheet'!C30</f>
        <v>967</v>
      </c>
      <c r="C16" s="13">
        <f>B18</f>
        <v>967</v>
      </c>
      <c r="D16" s="13">
        <f>C18</f>
        <v>967</v>
      </c>
      <c r="E16" s="13">
        <f>D18</f>
        <v>967</v>
      </c>
    </row>
    <row r="17" ht="20.05" customHeight="1">
      <c r="A17" t="s" s="9">
        <v>17</v>
      </c>
      <c r="B17" s="16">
        <f>B9+B8+B11</f>
        <v>0</v>
      </c>
      <c r="C17" s="13">
        <f>C9+C8+C11</f>
        <v>0</v>
      </c>
      <c r="D17" s="13">
        <f>D9+D8+D11</f>
        <v>0</v>
      </c>
      <c r="E17" s="13">
        <f>E9+E8+E11</f>
        <v>0</v>
      </c>
    </row>
    <row r="18" ht="20.05" customHeight="1">
      <c r="A18" t="s" s="9">
        <v>18</v>
      </c>
      <c r="B18" s="16">
        <f>B16+B17</f>
        <v>967</v>
      </c>
      <c r="C18" s="13">
        <f>C16+C17</f>
        <v>967</v>
      </c>
      <c r="D18" s="13">
        <f>D16+D17</f>
        <v>967</v>
      </c>
      <c r="E18" s="13">
        <f>E16+E17</f>
        <v>967</v>
      </c>
    </row>
    <row r="19" ht="20.05" customHeight="1">
      <c r="A19" t="s" s="18">
        <v>19</v>
      </c>
      <c r="B19" s="12"/>
      <c r="C19" s="17"/>
      <c r="D19" s="17"/>
      <c r="E19" s="19"/>
    </row>
    <row r="20" ht="20.05" customHeight="1">
      <c r="A20" t="s" s="9">
        <v>20</v>
      </c>
      <c r="B20" s="12">
        <f>-'Sales'!E30</f>
        <v>-70.5</v>
      </c>
      <c r="C20" s="17">
        <f>B20</f>
        <v>-70.5</v>
      </c>
      <c r="D20" s="17">
        <f>C20</f>
        <v>-70.5</v>
      </c>
      <c r="E20" s="17">
        <f>D20</f>
        <v>-70.5</v>
      </c>
    </row>
    <row r="21" ht="20.05" customHeight="1">
      <c r="A21" t="s" s="9">
        <v>19</v>
      </c>
      <c r="B21" s="12">
        <f>B5+B7+B20</f>
        <v>104.43</v>
      </c>
      <c r="C21" s="17">
        <f>C5+C7+C20</f>
        <v>106.1793</v>
      </c>
      <c r="D21" s="17">
        <f>D5+D7+D20</f>
        <v>111.479679</v>
      </c>
      <c r="E21" s="17">
        <f>E5+E7+E20</f>
        <v>124.21825653</v>
      </c>
    </row>
    <row r="22" ht="20.05" customHeight="1">
      <c r="A22" t="s" s="18">
        <v>21</v>
      </c>
      <c r="B22" s="20"/>
      <c r="C22" s="19"/>
      <c r="D22" s="19"/>
      <c r="E22" s="19"/>
    </row>
    <row r="23" ht="20.05" customHeight="1">
      <c r="A23" t="s" s="9">
        <v>22</v>
      </c>
      <c r="B23" s="16">
        <f>'Balance sheet'!E30+'Balance sheet'!F30-B9</f>
        <v>13430.35</v>
      </c>
      <c r="C23" s="13">
        <f>B23-C9</f>
        <v>13492.7</v>
      </c>
      <c r="D23" s="13">
        <f>C23-D9</f>
        <v>13555.05</v>
      </c>
      <c r="E23" s="13">
        <f>D23-E9</f>
        <v>13617.4</v>
      </c>
    </row>
    <row r="24" ht="20.05" customHeight="1">
      <c r="A24" t="s" s="9">
        <v>23</v>
      </c>
      <c r="B24" s="12">
        <f>'Balance sheet'!F30-B20</f>
        <v>5787.5</v>
      </c>
      <c r="C24" s="17">
        <f>B24-C20</f>
        <v>5858</v>
      </c>
      <c r="D24" s="17">
        <f>C24-D20</f>
        <v>5928.5</v>
      </c>
      <c r="E24" s="17">
        <f>D24-E20</f>
        <v>5999</v>
      </c>
    </row>
    <row r="25" ht="20.05" customHeight="1">
      <c r="A25" t="s" s="9">
        <v>24</v>
      </c>
      <c r="B25" s="16">
        <f>B23-B24</f>
        <v>7642.85</v>
      </c>
      <c r="C25" s="17">
        <f>C23-C24</f>
        <v>7634.7</v>
      </c>
      <c r="D25" s="17">
        <f>D23-D24</f>
        <v>7626.55</v>
      </c>
      <c r="E25" s="17">
        <f>E23-E24</f>
        <v>7618.4</v>
      </c>
    </row>
    <row r="26" ht="20.05" customHeight="1">
      <c r="A26" t="s" s="9">
        <v>12</v>
      </c>
      <c r="B26" s="16">
        <f>'Balance sheet'!G30+B12</f>
        <v>3798.1</v>
      </c>
      <c r="C26" s="13">
        <f>B26+C12</f>
        <v>3608.195</v>
      </c>
      <c r="D26" s="13">
        <f>C26+D12</f>
        <v>3427.78525</v>
      </c>
      <c r="E26" s="13">
        <f>D26+E12</f>
        <v>3256.3959875</v>
      </c>
    </row>
    <row r="27" ht="20.05" customHeight="1">
      <c r="A27" t="s" s="9">
        <v>15</v>
      </c>
      <c r="B27" s="16">
        <f>B15</f>
        <v>118.649</v>
      </c>
      <c r="C27" s="13">
        <f>B27+C15</f>
        <v>226.07849</v>
      </c>
      <c r="D27" s="13">
        <f>C27+D15</f>
        <v>320.3024647</v>
      </c>
      <c r="E27" s="13">
        <f>D27+E15</f>
        <v>396.588947629</v>
      </c>
    </row>
    <row r="28" ht="20.05" customHeight="1">
      <c r="A28" t="s" s="9">
        <v>13</v>
      </c>
      <c r="B28" s="16">
        <f>'Balance sheet'!H30+B21+B13</f>
        <v>4693.101</v>
      </c>
      <c r="C28" s="13">
        <f>B28+C21+C13</f>
        <v>4767.42651</v>
      </c>
      <c r="D28" s="13">
        <f>C28+D21+D13</f>
        <v>4845.4622853</v>
      </c>
      <c r="E28" s="13">
        <f>D28+E21+E13</f>
        <v>4932.415064871</v>
      </c>
    </row>
    <row r="29" ht="20.05" customHeight="1">
      <c r="A29" t="s" s="9">
        <v>25</v>
      </c>
      <c r="B29" s="16">
        <f>B26+B27+B28-B18-B25</f>
        <v>0</v>
      </c>
      <c r="C29" s="13">
        <f>C26+C27+C28-C18-C25</f>
        <v>0</v>
      </c>
      <c r="D29" s="13">
        <f>D26+D27+D28-D18-D25</f>
        <v>0</v>
      </c>
      <c r="E29" s="13">
        <f>E26+E27+E28-E18-E25</f>
        <v>0</v>
      </c>
    </row>
    <row r="30" ht="20.05" customHeight="1">
      <c r="A30" t="s" s="9">
        <v>26</v>
      </c>
      <c r="B30" s="16">
        <f>B18-B26-B27</f>
        <v>-2949.749</v>
      </c>
      <c r="C30" s="13">
        <f>C18-C26-C27</f>
        <v>-2867.27349</v>
      </c>
      <c r="D30" s="13">
        <f>D18-D26-D27</f>
        <v>-2781.0877147</v>
      </c>
      <c r="E30" s="13">
        <f>E18-E26-E27</f>
        <v>-2685.984935129</v>
      </c>
    </row>
    <row r="31" ht="20.05" customHeight="1">
      <c r="A31" t="s" s="18">
        <v>27</v>
      </c>
      <c r="B31" s="20"/>
      <c r="C31" s="19"/>
      <c r="D31" s="19"/>
      <c r="E31" s="19"/>
    </row>
    <row r="32" ht="20.05" customHeight="1">
      <c r="A32" t="s" s="9">
        <v>28</v>
      </c>
      <c r="B32" s="20"/>
      <c r="C32" s="19"/>
      <c r="D32" s="19"/>
      <c r="E32" s="17">
        <v>14</v>
      </c>
    </row>
    <row r="33" ht="20.05" customHeight="1">
      <c r="A33" t="s" s="9">
        <v>29</v>
      </c>
      <c r="B33" s="16">
        <f>'Cashflow'!J30-(B11-B10)</f>
        <v>724.24</v>
      </c>
      <c r="C33" s="13">
        <f>B33-(C11-C10)</f>
        <v>832.1693</v>
      </c>
      <c r="D33" s="13">
        <f>C33-(D11-D10)</f>
        <v>945.3989790000001</v>
      </c>
      <c r="E33" s="13">
        <f>D33-(E11-E10)</f>
        <v>1071.36723553</v>
      </c>
    </row>
    <row r="34" ht="20.05" customHeight="1">
      <c r="A34" t="s" s="9">
        <v>30</v>
      </c>
      <c r="B34" s="20"/>
      <c r="C34" s="19"/>
      <c r="D34" s="19"/>
      <c r="E34" s="13">
        <f>45410/E32</f>
        <v>3243.571428571430</v>
      </c>
    </row>
    <row r="35" ht="20.05" customHeight="1">
      <c r="A35" t="s" s="9">
        <v>31</v>
      </c>
      <c r="B35" s="20"/>
      <c r="C35" s="19"/>
      <c r="D35" s="19"/>
      <c r="E35" s="21">
        <f>E34/(E18+E25)</f>
        <v>0.377800851279082</v>
      </c>
    </row>
    <row r="36" ht="20.05" customHeight="1">
      <c r="A36" t="s" s="9">
        <v>32</v>
      </c>
      <c r="B36" s="20"/>
      <c r="C36" s="19"/>
      <c r="D36" s="19"/>
      <c r="E36" s="15">
        <f>-(B13+C13+D13+E13)/E34</f>
        <v>0.0412792422203479</v>
      </c>
    </row>
    <row r="37" ht="20.05" customHeight="1">
      <c r="A37" t="s" s="9">
        <v>3</v>
      </c>
      <c r="B37" s="20"/>
      <c r="C37" s="19"/>
      <c r="D37" s="19"/>
      <c r="E37" s="13">
        <f>SUM(B8:E10)</f>
        <v>453.30723553</v>
      </c>
    </row>
    <row r="38" ht="20.05" customHeight="1">
      <c r="A38" t="s" s="9">
        <v>33</v>
      </c>
      <c r="B38" s="20"/>
      <c r="C38" s="19"/>
      <c r="D38" s="19"/>
      <c r="E38" s="13">
        <f>'Balance sheet'!E30/E37</f>
        <v>16.8781775368191</v>
      </c>
    </row>
    <row r="39" ht="20.05" customHeight="1">
      <c r="A39" t="s" s="9">
        <v>27</v>
      </c>
      <c r="B39" s="20"/>
      <c r="C39" s="19"/>
      <c r="D39" s="19"/>
      <c r="E39" s="13">
        <f>E34/E37</f>
        <v>7.15534889880832</v>
      </c>
    </row>
    <row r="40" ht="20.05" customHeight="1">
      <c r="A40" t="s" s="9">
        <v>34</v>
      </c>
      <c r="B40" s="20"/>
      <c r="C40" s="19"/>
      <c r="D40" s="19"/>
      <c r="E40" s="17">
        <v>15</v>
      </c>
    </row>
    <row r="41" ht="20.05" customHeight="1">
      <c r="A41" t="s" s="9">
        <v>35</v>
      </c>
      <c r="B41" s="20"/>
      <c r="C41" s="19"/>
      <c r="D41" s="19"/>
      <c r="E41" s="13">
        <f>(E37*E40)*E32</f>
        <v>95194.519461300006</v>
      </c>
    </row>
    <row r="42" ht="20.05" customHeight="1">
      <c r="A42" t="s" s="9">
        <v>36</v>
      </c>
      <c r="B42" s="20"/>
      <c r="C42" s="19"/>
      <c r="D42" s="19"/>
      <c r="E42" s="22">
        <f>45410/E44</f>
        <v>5.4710843373494</v>
      </c>
    </row>
    <row r="43" ht="20.05" customHeight="1">
      <c r="A43" t="s" s="9">
        <v>37</v>
      </c>
      <c r="B43" s="20"/>
      <c r="C43" s="19"/>
      <c r="D43" s="19"/>
      <c r="E43" s="13">
        <f>E41/E42</f>
        <v>17399.5708330498</v>
      </c>
    </row>
    <row r="44" ht="20.05" customHeight="1">
      <c r="A44" t="s" s="9">
        <v>38</v>
      </c>
      <c r="B44" s="20"/>
      <c r="C44" s="19"/>
      <c r="D44" s="19"/>
      <c r="E44" s="13">
        <f>'Share price'!C86</f>
        <v>8300</v>
      </c>
    </row>
    <row r="45" ht="20.05" customHeight="1">
      <c r="A45" t="s" s="9">
        <v>39</v>
      </c>
      <c r="B45" s="20"/>
      <c r="C45" s="19"/>
      <c r="D45" s="19"/>
      <c r="E45" s="15">
        <f>E43/E44-1</f>
        <v>1.0963338353072</v>
      </c>
    </row>
    <row r="46" ht="20.05" customHeight="1">
      <c r="A46" t="s" s="9">
        <v>40</v>
      </c>
      <c r="B46" s="20"/>
      <c r="C46" s="19"/>
      <c r="D46" s="19"/>
      <c r="E46" s="23">
        <f>'Sales'!C30/'Sales'!C26-1</f>
        <v>0.242548382539907</v>
      </c>
    </row>
    <row r="47" ht="20.05" customHeight="1">
      <c r="A47" t="s" s="9">
        <v>41</v>
      </c>
      <c r="B47" s="20"/>
      <c r="C47" s="19"/>
      <c r="D47" s="19"/>
      <c r="E47" s="15">
        <f>('Sales'!D27+'Sales'!D30+'Sales'!D28+'Sales'!D29)/('Sales'!C27+'Sales'!C28+'Sales'!C30+'Sales'!C29)-1</f>
        <v>-0.0318067799690993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7188" style="24" customWidth="1"/>
    <col min="2" max="2" width="11.5859" style="24" customWidth="1"/>
    <col min="3" max="10" width="10.8359" style="24" customWidth="1"/>
    <col min="11" max="16384" width="16.3516" style="24" customWidth="1"/>
  </cols>
  <sheetData>
    <row r="1" ht="24.25" customHeight="1"/>
    <row r="2" ht="27.65" customHeight="1">
      <c r="B2" t="s" s="2">
        <v>42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25">
        <v>43</v>
      </c>
      <c r="C3" t="s" s="25">
        <v>5</v>
      </c>
      <c r="D3" t="s" s="25">
        <v>34</v>
      </c>
      <c r="E3" t="s" s="25">
        <v>23</v>
      </c>
      <c r="F3" t="s" s="25">
        <v>44</v>
      </c>
      <c r="G3" t="s" s="25">
        <v>45</v>
      </c>
      <c r="H3" t="s" s="25">
        <v>46</v>
      </c>
      <c r="I3" t="s" s="25">
        <v>47</v>
      </c>
      <c r="J3" t="s" s="25">
        <v>47</v>
      </c>
    </row>
    <row r="4" ht="20.25" customHeight="1">
      <c r="B4" s="26">
        <v>2015</v>
      </c>
      <c r="C4" s="27">
        <v>704.13</v>
      </c>
      <c r="D4" s="28"/>
      <c r="E4" s="29">
        <v>74.943</v>
      </c>
      <c r="F4" s="29">
        <v>61.61</v>
      </c>
      <c r="G4" s="8"/>
      <c r="H4" s="30">
        <f>(E4+F4-C4)/C4</f>
        <v>-0.806068481672418</v>
      </c>
      <c r="I4" s="30"/>
      <c r="J4" s="30">
        <f>('Cashflow'!E4-'Cashflow'!C4)/'Cashflow'!C4</f>
        <v>-0.776412849494349</v>
      </c>
    </row>
    <row r="5" ht="20.05" customHeight="1">
      <c r="B5" s="31"/>
      <c r="C5" s="32">
        <f>1407.3-C4</f>
        <v>703.17</v>
      </c>
      <c r="D5" s="33"/>
      <c r="E5" s="33">
        <v>75.062</v>
      </c>
      <c r="F5" s="33">
        <f>101.6-F4</f>
        <v>39.99</v>
      </c>
      <c r="G5" s="15">
        <f>C5/C4-1</f>
        <v>-0.00136338460227515</v>
      </c>
      <c r="H5" s="15">
        <f>(E5+F5-C5)/C5</f>
        <v>-0.8363809605074159</v>
      </c>
      <c r="I5" s="15"/>
      <c r="J5" s="15">
        <f>('Cashflow'!E5-'Cashflow'!C5)/'Cashflow'!C5</f>
        <v>-0.917354634298719</v>
      </c>
    </row>
    <row r="6" ht="20.05" customHeight="1">
      <c r="B6" s="31"/>
      <c r="C6" s="32">
        <f>2098-SUM(C4:C5)</f>
        <v>690.7</v>
      </c>
      <c r="D6" s="34"/>
      <c r="E6" s="33">
        <v>75.07599999999999</v>
      </c>
      <c r="F6" s="33">
        <f>181-SUM(F4:F5)</f>
        <v>79.40000000000001</v>
      </c>
      <c r="G6" s="15">
        <f>C6/C5-1</f>
        <v>-0.0177339761366384</v>
      </c>
      <c r="H6" s="15">
        <f>(E6+F6-C6)/C6</f>
        <v>-0.776348631822788</v>
      </c>
      <c r="I6" s="15"/>
      <c r="J6" s="15">
        <f>('Cashflow'!E6-'Cashflow'!C6)/'Cashflow'!C6</f>
        <v>-0.924172832495449</v>
      </c>
    </row>
    <row r="7" ht="20.05" customHeight="1">
      <c r="B7" s="31"/>
      <c r="C7" s="32">
        <f>2834.27-SUM(C4:C6)</f>
        <v>736.27</v>
      </c>
      <c r="D7" s="34"/>
      <c r="E7" s="33">
        <v>71.202</v>
      </c>
      <c r="F7" s="33">
        <f>222.74-SUM(F4:F6)</f>
        <v>41.74</v>
      </c>
      <c r="G7" s="15">
        <f>C7/C6-1</f>
        <v>0.0659765455335167</v>
      </c>
      <c r="H7" s="15">
        <f>(E7+F7-C7)/C7</f>
        <v>-0.846602469202874</v>
      </c>
      <c r="I7" s="11"/>
      <c r="J7" s="15">
        <f>('Cashflow'!E7-'Cashflow'!C7)/'Cashflow'!C7</f>
        <v>-1.19698952879581</v>
      </c>
    </row>
    <row r="8" ht="20.05" customHeight="1">
      <c r="B8" s="35">
        <v>2016</v>
      </c>
      <c r="C8" s="32">
        <v>678.1900000000001</v>
      </c>
      <c r="D8" s="34"/>
      <c r="E8" s="33">
        <v>72.313</v>
      </c>
      <c r="F8" s="33">
        <v>26.72</v>
      </c>
      <c r="G8" s="15">
        <f>C8/C7-1</f>
        <v>-0.07888410501582301</v>
      </c>
      <c r="H8" s="15">
        <f>(E8+F8-C8)/C8</f>
        <v>-0.853974549904894</v>
      </c>
      <c r="I8" s="15">
        <f>AVERAGE(J5:J8)</f>
        <v>-0.955010593013501</v>
      </c>
      <c r="J8" s="15">
        <f>('Cashflow'!E8-'Cashflow'!C8)/'Cashflow'!C8</f>
        <v>-0.781525376464027</v>
      </c>
    </row>
    <row r="9" ht="20.05" customHeight="1">
      <c r="B9" s="31"/>
      <c r="C9" s="32">
        <f>1383-C8</f>
        <v>704.8099999999999</v>
      </c>
      <c r="D9" s="33"/>
      <c r="E9" s="33">
        <v>68.624</v>
      </c>
      <c r="F9" s="33">
        <f>45.57-F8</f>
        <v>18.85</v>
      </c>
      <c r="G9" s="15">
        <f>C9/C8-1</f>
        <v>0.0392515371798464</v>
      </c>
      <c r="H9" s="15">
        <f>(E9+F9-C9)/C9</f>
        <v>-0.875889956158397</v>
      </c>
      <c r="I9" s="15">
        <f>AVERAGE(J6:J9)</f>
        <v>-0.964005267772155</v>
      </c>
      <c r="J9" s="15">
        <f>('Cashflow'!E9-'Cashflow'!C9)/'Cashflow'!C9</f>
        <v>-0.953333333333333</v>
      </c>
    </row>
    <row r="10" ht="20.05" customHeight="1">
      <c r="B10" s="31"/>
      <c r="C10" s="32">
        <f>2027.86-SUM(C8:C9)</f>
        <v>644.86</v>
      </c>
      <c r="D10" s="34"/>
      <c r="E10" s="33">
        <v>74.619</v>
      </c>
      <c r="F10" s="33">
        <f>97-SUM(F8:F9)</f>
        <v>51.43</v>
      </c>
      <c r="G10" s="15">
        <f>C10/C9-1</f>
        <v>-0.08505838452916389</v>
      </c>
      <c r="H10" s="15">
        <f>(E10+F10-C10)/C10</f>
        <v>-0.804532766802097</v>
      </c>
      <c r="I10" s="15">
        <f>AVERAGE(J7:J10)</f>
        <v>-0.950018517267837</v>
      </c>
      <c r="J10" s="15">
        <f>('Cashflow'!E10-'Cashflow'!C10)/'Cashflow'!C10</f>
        <v>-0.868225830478177</v>
      </c>
    </row>
    <row r="11" ht="20.05" customHeight="1">
      <c r="B11" s="31"/>
      <c r="C11" s="32">
        <f>2720.47-SUM(C8:C10)</f>
        <v>692.61</v>
      </c>
      <c r="D11" s="34"/>
      <c r="E11" s="33">
        <v>74.43300000000001</v>
      </c>
      <c r="F11" s="33">
        <f>202.75-SUM(F8:F10)</f>
        <v>105.75</v>
      </c>
      <c r="G11" s="15">
        <f>C11/C10-1</f>
        <v>0.0740470799863536</v>
      </c>
      <c r="H11" s="15">
        <f>(E11+F11-C11)/C11</f>
        <v>-0.739849265820592</v>
      </c>
      <c r="I11" s="15">
        <f>AVERAGE(J8:J11)</f>
        <v>-0.949458742642034</v>
      </c>
      <c r="J11" s="15">
        <f>('Cashflow'!E11-'Cashflow'!C11)/'Cashflow'!C11</f>
        <v>-1.1947504302926</v>
      </c>
    </row>
    <row r="12" ht="20.05" customHeight="1">
      <c r="B12" s="35">
        <v>2017</v>
      </c>
      <c r="C12" s="32">
        <v>745.97</v>
      </c>
      <c r="D12" s="34"/>
      <c r="E12" s="33">
        <v>74.28100000000001</v>
      </c>
      <c r="F12" s="33">
        <v>85.88</v>
      </c>
      <c r="G12" s="15">
        <f>C12/C11-1</f>
        <v>0.07704191391981061</v>
      </c>
      <c r="H12" s="15">
        <f>(E12+F12-C12)/C12</f>
        <v>-0.785298336394225</v>
      </c>
      <c r="I12" s="15">
        <f>AVERAGE(J9:J12)</f>
        <v>-0.937343681009446</v>
      </c>
      <c r="J12" s="15">
        <f>('Cashflow'!E12-'Cashflow'!C12)/'Cashflow'!C12</f>
        <v>-0.733065129933674</v>
      </c>
    </row>
    <row r="13" ht="20.05" customHeight="1">
      <c r="B13" s="31"/>
      <c r="C13" s="32">
        <f>1455.9-C12</f>
        <v>709.9299999999999</v>
      </c>
      <c r="D13" s="33"/>
      <c r="E13" s="33">
        <v>74.04600000000001</v>
      </c>
      <c r="F13" s="33">
        <f>171-F12</f>
        <v>85.12</v>
      </c>
      <c r="G13" s="15">
        <f>C13/C12-1</f>
        <v>-0.0483129348365216</v>
      </c>
      <c r="H13" s="15">
        <f>(E13+F13-C13)/C13</f>
        <v>-0.775800431028411</v>
      </c>
      <c r="I13" s="15">
        <f>AVERAGE(J10:J13)</f>
        <v>-0.931516604752568</v>
      </c>
      <c r="J13" s="15">
        <f>('Cashflow'!E13-'Cashflow'!C13)/'Cashflow'!C13</f>
        <v>-0.930025028305822</v>
      </c>
    </row>
    <row r="14" ht="20.05" customHeight="1">
      <c r="B14" s="31"/>
      <c r="C14" s="32">
        <f>2261.47-SUM(C12:C13)</f>
        <v>805.5700000000001</v>
      </c>
      <c r="D14" s="34"/>
      <c r="E14" s="33">
        <v>73.17400000000001</v>
      </c>
      <c r="F14" s="33">
        <f>287.56-SUM(F12:F13)</f>
        <v>116.56</v>
      </c>
      <c r="G14" s="15">
        <f>C14/C13-1</f>
        <v>0.134717507359881</v>
      </c>
      <c r="H14" s="15">
        <f>(E14+F14-C14)/C14</f>
        <v>-0.764472361185248</v>
      </c>
      <c r="I14" s="15">
        <f>AVERAGE(J11:J14)</f>
        <v>-0.876435683555055</v>
      </c>
      <c r="J14" s="15">
        <f>('Cashflow'!E14-'Cashflow'!C14)/'Cashflow'!C14</f>
        <v>-0.647902145688124</v>
      </c>
    </row>
    <row r="15" ht="20.05" customHeight="1">
      <c r="B15" s="31"/>
      <c r="C15" s="36">
        <f>3127.92-SUM(C12:C14)</f>
        <v>866.45</v>
      </c>
      <c r="D15" s="37"/>
      <c r="E15" s="33">
        <v>73.38</v>
      </c>
      <c r="F15" s="37">
        <f>413.28-SUM(F12:F14)</f>
        <v>125.72</v>
      </c>
      <c r="G15" s="15">
        <f>C15/C14-1</f>
        <v>0.0755738172970692</v>
      </c>
      <c r="H15" s="15">
        <f>(E15+F15-C15)/C15</f>
        <v>-0.77021178371516</v>
      </c>
      <c r="I15" s="15">
        <f>AVERAGE(J12:J15)</f>
        <v>-0.776330743314572</v>
      </c>
      <c r="J15" s="15">
        <f>('Cashflow'!E15-'Cashflow'!C15)/'Cashflow'!C15</f>
        <v>-0.794330669330669</v>
      </c>
    </row>
    <row r="16" ht="20.05" customHeight="1">
      <c r="B16" s="35">
        <v>2018</v>
      </c>
      <c r="C16" s="32">
        <v>843.7</v>
      </c>
      <c r="D16" s="34"/>
      <c r="E16" s="33">
        <v>72.61199999999999</v>
      </c>
      <c r="F16" s="33">
        <v>155</v>
      </c>
      <c r="G16" s="15">
        <f>C16/C15-1</f>
        <v>-0.0262565641410353</v>
      </c>
      <c r="H16" s="15">
        <f>(E16+F16-C16)/C16</f>
        <v>-0.730221642764016</v>
      </c>
      <c r="I16" s="15">
        <f>AVERAGE(J13:J16)</f>
        <v>-0.770922070236771</v>
      </c>
      <c r="J16" s="15">
        <f>('Cashflow'!E16-'Cashflow'!C16)/'Cashflow'!C16</f>
        <v>-0.711430437622469</v>
      </c>
    </row>
    <row r="17" ht="20.05" customHeight="1">
      <c r="B17" s="31"/>
      <c r="C17" s="32">
        <f>1660.8-C16</f>
        <v>817.1</v>
      </c>
      <c r="D17" s="33"/>
      <c r="E17" s="33">
        <v>72.396</v>
      </c>
      <c r="F17" s="33">
        <f>340.5-F16</f>
        <v>185.5</v>
      </c>
      <c r="G17" s="15">
        <f>C17/C16-1</f>
        <v>-0.0315277942396586</v>
      </c>
      <c r="H17" s="15">
        <f>(E17+F17-C17)/C17</f>
        <v>-0.684376453310488</v>
      </c>
      <c r="I17" s="15">
        <f>AVERAGE(J14:J17)</f>
        <v>-0.773022554733349</v>
      </c>
      <c r="J17" s="15">
        <f>('Cashflow'!E17-'Cashflow'!C17)/'Cashflow'!C17</f>
        <v>-0.938426966292135</v>
      </c>
    </row>
    <row r="18" ht="20.05" customHeight="1">
      <c r="B18" s="31"/>
      <c r="C18" s="32">
        <f>2507.5-SUM(C16:C17)</f>
        <v>846.7</v>
      </c>
      <c r="D18" s="34"/>
      <c r="E18" s="33">
        <v>72.783</v>
      </c>
      <c r="F18" s="33">
        <f>516.26-SUM(F16:F17)</f>
        <v>175.76</v>
      </c>
      <c r="G18" s="15">
        <f>C18/C17-1</f>
        <v>0.0362256761718272</v>
      </c>
      <c r="H18" s="15">
        <f>(E18+F18-C18)/C18</f>
        <v>-0.706456832408173</v>
      </c>
      <c r="I18" s="15">
        <f>AVERAGE(J15:J18)</f>
        <v>-0.797655787046435</v>
      </c>
      <c r="J18" s="15">
        <f>('Cashflow'!E18-'Cashflow'!C18)/'Cashflow'!C18</f>
        <v>-0.746435074940468</v>
      </c>
    </row>
    <row r="19" ht="20.05" customHeight="1">
      <c r="B19" s="31"/>
      <c r="C19" s="32">
        <f>3335.4-SUM(C16:C18)</f>
        <v>827.9</v>
      </c>
      <c r="D19" s="34"/>
      <c r="E19" s="33">
        <v>74.60899999999999</v>
      </c>
      <c r="F19" s="33">
        <f>588.2-SUM(F16:F18)</f>
        <v>71.94</v>
      </c>
      <c r="G19" s="15">
        <f>C19/C18-1</f>
        <v>-0.0222038502421165</v>
      </c>
      <c r="H19" s="15">
        <f>(E19+F19-C19)/C19</f>
        <v>-0.822987075733784</v>
      </c>
      <c r="I19" s="15">
        <f>AVERAGE(J16:J19)</f>
        <v>-0.821669602929114</v>
      </c>
      <c r="J19" s="15">
        <f>('Cashflow'!E19-'Cashflow'!C19)/'Cashflow'!C19</f>
        <v>-0.890385932861384</v>
      </c>
    </row>
    <row r="20" ht="20.05" customHeight="1">
      <c r="B20" s="35">
        <v>2019</v>
      </c>
      <c r="C20" s="32">
        <v>776</v>
      </c>
      <c r="D20" s="34"/>
      <c r="E20" s="33">
        <v>75.946</v>
      </c>
      <c r="F20" s="33">
        <v>73</v>
      </c>
      <c r="G20" s="15">
        <f>C20/C19-1</f>
        <v>-0.06268873052300999</v>
      </c>
      <c r="H20" s="15">
        <f>(E20+F20-C20)/C20</f>
        <v>-0.8080592783505151</v>
      </c>
      <c r="I20" s="15">
        <f>AVERAGE(J17:J20)</f>
        <v>-0.852573955629084</v>
      </c>
      <c r="J20" s="15">
        <f>('Cashflow'!E20-'Cashflow'!C20)/'Cashflow'!C20</f>
        <v>-0.835047848422347</v>
      </c>
    </row>
    <row r="21" ht="20.05" customHeight="1">
      <c r="B21" s="31"/>
      <c r="C21" s="32">
        <f>1574.7-C20</f>
        <v>798.7</v>
      </c>
      <c r="D21" s="33"/>
      <c r="E21" s="33">
        <v>76.117</v>
      </c>
      <c r="F21" s="33">
        <f>146.8-F20</f>
        <v>73.8</v>
      </c>
      <c r="G21" s="15">
        <f>C21/C20-1</f>
        <v>0.0292525773195876</v>
      </c>
      <c r="H21" s="15">
        <f>(E21+F21-C21)/C21</f>
        <v>-0.812298735445098</v>
      </c>
      <c r="I21" s="15">
        <f>AVERAGE(J18:J21)</f>
        <v>-0.829075757601369</v>
      </c>
      <c r="J21" s="15">
        <f>('Cashflow'!E21-'Cashflow'!C21)/'Cashflow'!C21</f>
        <v>-0.844434174181275</v>
      </c>
    </row>
    <row r="22" ht="20.05" customHeight="1">
      <c r="B22" s="31"/>
      <c r="C22" s="32">
        <f>2466.9-SUM(C20:C21)</f>
        <v>892.2</v>
      </c>
      <c r="D22" s="34"/>
      <c r="E22" s="33">
        <v>75.673</v>
      </c>
      <c r="F22" s="33">
        <f>238-SUM(F20:F21)</f>
        <v>91.2</v>
      </c>
      <c r="G22" s="15">
        <f>C22/C21-1</f>
        <v>0.117065231000376</v>
      </c>
      <c r="H22" s="15">
        <f>(E22+F22-C22)/C22</f>
        <v>-0.812964581932302</v>
      </c>
      <c r="I22" s="15">
        <f>AVERAGE(J19:J22)</f>
        <v>-0.839848599870211</v>
      </c>
      <c r="J22" s="15">
        <f>('Cashflow'!E22-'Cashflow'!C22)/'Cashflow'!C22</f>
        <v>-0.789526444015836</v>
      </c>
    </row>
    <row r="23" ht="20.05" customHeight="1">
      <c r="B23" s="31"/>
      <c r="C23" s="32">
        <f>3223.15-SUM(C20:C22)</f>
        <v>756.25</v>
      </c>
      <c r="D23" s="34"/>
      <c r="E23" s="33">
        <v>75.401</v>
      </c>
      <c r="F23" s="33">
        <f>274.39-SUM(F20:F22)</f>
        <v>36.39</v>
      </c>
      <c r="G23" s="15">
        <f>C23/C22-1</f>
        <v>-0.15237614884555</v>
      </c>
      <c r="H23" s="15">
        <f>(E23+F23-C23)/C23</f>
        <v>-0.852177190082645</v>
      </c>
      <c r="I23" s="15">
        <f>AVERAGE(J20:J23)</f>
        <v>-0.834529543332985</v>
      </c>
      <c r="J23" s="15">
        <f>('Cashflow'!E23-'Cashflow'!C23)/'Cashflow'!C23</f>
        <v>-0.86910970671248</v>
      </c>
    </row>
    <row r="24" ht="20.05" customHeight="1">
      <c r="B24" s="35">
        <v>2020</v>
      </c>
      <c r="C24" s="32">
        <v>780.47</v>
      </c>
      <c r="D24" s="34"/>
      <c r="E24" s="33">
        <v>69</v>
      </c>
      <c r="F24" s="33">
        <v>179</v>
      </c>
      <c r="G24" s="15">
        <f>C24/C23-1</f>
        <v>0.0320264462809917</v>
      </c>
      <c r="H24" s="15">
        <f>(E24+F24-C24)/C24</f>
        <v>-0.682242751162761</v>
      </c>
      <c r="I24" s="15">
        <f>AVERAGE(J21:J24)</f>
        <v>-0.812143054712246</v>
      </c>
      <c r="J24" s="15">
        <f>('Cashflow'!E24-'Cashflow'!C24)/'Cashflow'!C24</f>
        <v>-0.745501893939394</v>
      </c>
    </row>
    <row r="25" ht="20.05" customHeight="1">
      <c r="B25" s="31"/>
      <c r="C25" s="32">
        <f>1484-C24</f>
        <v>703.53</v>
      </c>
      <c r="D25" s="33"/>
      <c r="E25" s="33">
        <v>69</v>
      </c>
      <c r="F25" s="33">
        <f>203.2-F24</f>
        <v>24.2</v>
      </c>
      <c r="G25" s="15">
        <f>C25/C24-1</f>
        <v>-0.0985816238932951</v>
      </c>
      <c r="H25" s="15">
        <f>(E25+F25-C25)/C25</f>
        <v>-0.867525194376928</v>
      </c>
      <c r="I25" s="15">
        <f>AVERAGE(J22:J25)</f>
        <v>-0.82144871235036</v>
      </c>
      <c r="J25" s="15">
        <f>('Cashflow'!E25-'Cashflow'!C25)/'Cashflow'!C25</f>
        <v>-0.881656804733728</v>
      </c>
    </row>
    <row r="26" ht="20.05" customHeight="1">
      <c r="B26" s="31"/>
      <c r="C26" s="32">
        <f>2191.9-SUM(C24:C25)</f>
        <v>707.9</v>
      </c>
      <c r="D26" s="34"/>
      <c r="E26" s="33">
        <v>69</v>
      </c>
      <c r="F26" s="33">
        <f>287.449-SUM(F24:F25)</f>
        <v>84.249</v>
      </c>
      <c r="G26" s="15">
        <f>C26/C25-1</f>
        <v>0.00621153326794877</v>
      </c>
      <c r="H26" s="15">
        <f>(E26+F26-C26)/C26</f>
        <v>-0.783516033338042</v>
      </c>
      <c r="I26" s="15">
        <f>AVERAGE(J23:J26)</f>
        <v>-0.800065796040878</v>
      </c>
      <c r="J26" s="15">
        <f>('Cashflow'!E26-'Cashflow'!C26)/'Cashflow'!C26</f>
        <v>-0.7039947787779079</v>
      </c>
    </row>
    <row r="27" ht="20.05" customHeight="1">
      <c r="B27" s="31"/>
      <c r="C27" s="32">
        <v>794.1</v>
      </c>
      <c r="D27" s="34">
        <v>757.453</v>
      </c>
      <c r="E27" s="33">
        <v>75.5</v>
      </c>
      <c r="F27" s="33">
        <v>6.551</v>
      </c>
      <c r="G27" s="15">
        <f>C27/C26-1</f>
        <v>0.121768611385789</v>
      </c>
      <c r="H27" s="15">
        <f>(E27+F27-C27)/C27</f>
        <v>-0.896674222390127</v>
      </c>
      <c r="I27" s="15">
        <f>AVERAGE(J24:J27)</f>
        <v>-0.817742612776141</v>
      </c>
      <c r="J27" s="15">
        <f>('Cashflow'!E27-'Cashflow'!C27)/'Cashflow'!C27</f>
        <v>-0.939816973653532</v>
      </c>
    </row>
    <row r="28" ht="20.05" customHeight="1">
      <c r="B28" s="35">
        <v>2021</v>
      </c>
      <c r="C28" s="32">
        <v>801.3</v>
      </c>
      <c r="D28" s="17">
        <v>794</v>
      </c>
      <c r="E28" s="34">
        <f>1.2+1.3+67.7</f>
        <v>70.2</v>
      </c>
      <c r="F28" s="34">
        <v>139.3</v>
      </c>
      <c r="G28" s="15">
        <f>C28/C27-1</f>
        <v>0.009066868152625611</v>
      </c>
      <c r="H28" s="15">
        <f>(E28+F28-C28)/C28</f>
        <v>-0.738549856483215</v>
      </c>
      <c r="I28" s="15">
        <f>AVERAGE(J25:J28)</f>
        <v>-0.87418105759689</v>
      </c>
      <c r="J28" s="15">
        <f>('Cashflow'!E28-'Cashflow'!C28)/'Cashflow'!C28</f>
        <v>-0.97125567322239</v>
      </c>
    </row>
    <row r="29" ht="20.05" customHeight="1">
      <c r="B29" s="31"/>
      <c r="C29" s="32">
        <f>1627.2-C28</f>
        <v>825.9</v>
      </c>
      <c r="D29" s="34">
        <v>777.261</v>
      </c>
      <c r="E29" s="34">
        <f>135.4+2.4+2.7-E28</f>
        <v>70.3</v>
      </c>
      <c r="F29" s="34">
        <f>282.8-F28</f>
        <v>143.5</v>
      </c>
      <c r="G29" s="15">
        <f>C29/C28-1</f>
        <v>0.0307001123174841</v>
      </c>
      <c r="H29" s="15">
        <f>(E29+F29-C29)/C29</f>
        <v>-0.741130887516649</v>
      </c>
      <c r="I29" s="15">
        <f>AVERAGE(J26:J29)</f>
        <v>-0.814496252250317</v>
      </c>
      <c r="J29" s="15">
        <f>('Cashflow'!E29-'Cashflow'!C29)/'Cashflow'!C29</f>
        <v>-0.642917583347436</v>
      </c>
    </row>
    <row r="30" ht="20.05" customHeight="1">
      <c r="B30" s="31"/>
      <c r="C30" s="32">
        <f>2506.8-SUM(C28:C29)</f>
        <v>879.6</v>
      </c>
      <c r="D30" s="34">
        <v>867.1950000000001</v>
      </c>
      <c r="E30" s="34">
        <f>203.3+3.6+4.1-SUM(E28:E29)</f>
        <v>70.5</v>
      </c>
      <c r="F30" s="34">
        <f>390.8-SUM(F28:F29)</f>
        <v>108</v>
      </c>
      <c r="G30" s="15">
        <f>C30/C29-1</f>
        <v>0.0650199782055939</v>
      </c>
      <c r="H30" s="15">
        <f>(E30+F30-C30)/C30</f>
        <v>-0.797066848567531</v>
      </c>
      <c r="I30" s="15">
        <f>AVERAGE(J27:J30)</f>
        <v>-0.821789328129406</v>
      </c>
      <c r="J30" s="15">
        <f>('Cashflow'!E30-'Cashflow'!C30)/'Cashflow'!C30</f>
        <v>-0.733167082294264</v>
      </c>
    </row>
    <row r="31" ht="20.05" customHeight="1">
      <c r="B31" s="31"/>
      <c r="C31" s="32"/>
      <c r="D31" s="34">
        <f>'Model'!B5</f>
        <v>862.008</v>
      </c>
      <c r="E31" s="34"/>
      <c r="F31" s="34"/>
      <c r="G31" s="19"/>
      <c r="H31" s="15">
        <f>'Model'!B6</f>
        <v>-0.797066848567531</v>
      </c>
      <c r="I31" s="19"/>
      <c r="J31" s="15"/>
    </row>
    <row r="32" ht="20.05" customHeight="1">
      <c r="B32" s="35">
        <v>2022</v>
      </c>
      <c r="C32" s="32"/>
      <c r="D32" s="34">
        <f>'Model'!C5</f>
        <v>870.62808</v>
      </c>
      <c r="E32" s="34"/>
      <c r="F32" s="34"/>
      <c r="G32" s="19"/>
      <c r="H32" s="19"/>
      <c r="I32" s="19"/>
      <c r="J32" s="19"/>
    </row>
    <row r="33" ht="20.05" customHeight="1">
      <c r="B33" s="31"/>
      <c r="C33" s="32"/>
      <c r="D33" s="34">
        <f>'Model'!D5</f>
        <v>896.7469224</v>
      </c>
      <c r="E33" s="34"/>
      <c r="F33" s="34"/>
      <c r="G33" s="19"/>
      <c r="H33" s="19"/>
      <c r="I33" s="19"/>
      <c r="J33" s="19"/>
    </row>
    <row r="34" ht="20.05" customHeight="1">
      <c r="B34" s="31"/>
      <c r="C34" s="32"/>
      <c r="D34" s="34">
        <f>'Model'!E5</f>
        <v>959.519206968</v>
      </c>
      <c r="E34" s="34"/>
      <c r="F34" s="34"/>
      <c r="G34" s="19"/>
      <c r="H34" s="19"/>
      <c r="I34" s="19"/>
      <c r="J34" s="19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38" customWidth="1"/>
    <col min="2" max="2" width="7.60938" style="38" customWidth="1"/>
    <col min="3" max="10" width="10.5156" style="38" customWidth="1"/>
    <col min="11" max="16384" width="16.3516" style="38" customWidth="1"/>
  </cols>
  <sheetData>
    <row r="1" ht="36.4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25">
        <v>43</v>
      </c>
      <c r="C3" t="s" s="25">
        <v>48</v>
      </c>
      <c r="D3" t="s" s="25">
        <v>49</v>
      </c>
      <c r="E3" t="s" s="25">
        <v>8</v>
      </c>
      <c r="F3" t="s" s="25">
        <v>9</v>
      </c>
      <c r="G3" t="s" s="25">
        <v>11</v>
      </c>
      <c r="H3" t="s" s="25">
        <v>50</v>
      </c>
      <c r="I3" t="s" s="25">
        <v>3</v>
      </c>
      <c r="J3" t="s" s="25">
        <v>29</v>
      </c>
    </row>
    <row r="4" ht="20.25" customHeight="1">
      <c r="B4" s="26">
        <v>2015</v>
      </c>
      <c r="C4" s="39">
        <v>672.4</v>
      </c>
      <c r="D4" s="40"/>
      <c r="E4" s="40">
        <v>150.34</v>
      </c>
      <c r="F4" s="40">
        <v>-120.39</v>
      </c>
      <c r="G4" s="40">
        <v>-54.86</v>
      </c>
      <c r="H4" s="40">
        <f>E4+F4</f>
        <v>29.95</v>
      </c>
      <c r="I4" s="40"/>
      <c r="J4" s="40">
        <f>-(G4-D4)</f>
        <v>54.86</v>
      </c>
    </row>
    <row r="5" ht="20.05" customHeight="1">
      <c r="B5" s="31"/>
      <c r="C5" s="16">
        <f>1344.67-C4</f>
        <v>672.27</v>
      </c>
      <c r="D5" s="13"/>
      <c r="E5" s="13">
        <f>205.9-E4</f>
        <v>55.56</v>
      </c>
      <c r="F5" s="13">
        <f>-211-F4</f>
        <v>-90.61</v>
      </c>
      <c r="G5" s="13">
        <f>-28.58-G4</f>
        <v>26.28</v>
      </c>
      <c r="H5" s="13">
        <f>E5+F5</f>
        <v>-35.05</v>
      </c>
      <c r="I5" s="13"/>
      <c r="J5" s="13">
        <f>-(G5-D5)+J4</f>
        <v>28.58</v>
      </c>
    </row>
    <row r="6" ht="20.05" customHeight="1">
      <c r="B6" s="31"/>
      <c r="C6" s="16">
        <f>1943.4-SUM(C4:C5)</f>
        <v>598.73</v>
      </c>
      <c r="D6" s="13"/>
      <c r="E6" s="13">
        <f>251.3-SUM(E4:E5)</f>
        <v>45.4</v>
      </c>
      <c r="F6" s="13">
        <f>-277.2-SUM(F4:F5)</f>
        <v>-66.2</v>
      </c>
      <c r="G6" s="13">
        <f>51.38-SUM(G4:G5)</f>
        <v>79.95999999999999</v>
      </c>
      <c r="H6" s="13">
        <f>E6+F6</f>
        <v>-20.8</v>
      </c>
      <c r="I6" s="13"/>
      <c r="J6" s="13">
        <f>-(G6-D6)+J5</f>
        <v>-51.38</v>
      </c>
    </row>
    <row r="7" ht="20.05" customHeight="1">
      <c r="B7" s="31"/>
      <c r="C7" s="16">
        <f>2401.8-SUM(C4:C6)</f>
        <v>458.4</v>
      </c>
      <c r="D7" s="13"/>
      <c r="E7" s="13">
        <f>161-SUM(E4:E6)</f>
        <v>-90.3</v>
      </c>
      <c r="F7" s="13">
        <f>-230.7-SUM(F4:F6)</f>
        <v>46.5</v>
      </c>
      <c r="G7" s="13">
        <f>-210.36-SUM(G4:G6)</f>
        <v>-261.74</v>
      </c>
      <c r="H7" s="13">
        <f>E7+F7</f>
        <v>-43.8</v>
      </c>
      <c r="I7" s="13"/>
      <c r="J7" s="13">
        <f>-(G7-D7)+J6</f>
        <v>210.36</v>
      </c>
    </row>
    <row r="8" ht="20.05" customHeight="1">
      <c r="B8" s="35">
        <v>2016</v>
      </c>
      <c r="C8" s="16">
        <v>717.2</v>
      </c>
      <c r="D8" s="13"/>
      <c r="E8" s="13">
        <v>156.69</v>
      </c>
      <c r="F8" s="13">
        <v>-62.27</v>
      </c>
      <c r="G8" s="13">
        <v>-139.7</v>
      </c>
      <c r="H8" s="13">
        <f>E8+F8</f>
        <v>94.42</v>
      </c>
      <c r="I8" s="13">
        <f>AVERAGE(H5:H8)</f>
        <v>-1.3075</v>
      </c>
      <c r="J8" s="13">
        <f>-(G8-D8)+J7</f>
        <v>350.06</v>
      </c>
    </row>
    <row r="9" ht="20.05" customHeight="1">
      <c r="B9" s="31"/>
      <c r="C9" s="16">
        <f>1402.7-C8</f>
        <v>685.5</v>
      </c>
      <c r="D9" s="13"/>
      <c r="E9" s="13">
        <f>188.68-E8</f>
        <v>31.99</v>
      </c>
      <c r="F9" s="13">
        <f>10.8-F8</f>
        <v>73.06999999999999</v>
      </c>
      <c r="G9" s="13">
        <f>-152-G8</f>
        <v>-12.3</v>
      </c>
      <c r="H9" s="13">
        <f>E9+F9</f>
        <v>105.06</v>
      </c>
      <c r="I9" s="13">
        <f>AVERAGE(H6:H9)</f>
        <v>33.72</v>
      </c>
      <c r="J9" s="13">
        <f>-(G9-D9)+J8</f>
        <v>362.36</v>
      </c>
    </row>
    <row r="10" ht="20.05" customHeight="1">
      <c r="B10" s="31"/>
      <c r="C10" s="16">
        <f>2074-SUM(C8:C9)</f>
        <v>671.3</v>
      </c>
      <c r="D10" s="13"/>
      <c r="E10" s="13">
        <f>277.14-SUM(E8:E9)</f>
        <v>88.45999999999999</v>
      </c>
      <c r="F10" s="13">
        <f>-78.3-SUM(F8:F9)</f>
        <v>-89.09999999999999</v>
      </c>
      <c r="G10" s="13">
        <f>-261.9-SUM(G8:G9)</f>
        <v>-109.9</v>
      </c>
      <c r="H10" s="13">
        <f>E10+F10</f>
        <v>-0.64</v>
      </c>
      <c r="I10" s="13">
        <f>AVERAGE(H7:H10)</f>
        <v>38.76</v>
      </c>
      <c r="J10" s="13">
        <f>-(G10-D10)+J9</f>
        <v>472.26</v>
      </c>
    </row>
    <row r="11" ht="20.05" customHeight="1">
      <c r="B11" s="31"/>
      <c r="C11" s="16">
        <f>2655-SUM(C8:C10)</f>
        <v>581</v>
      </c>
      <c r="D11" s="13"/>
      <c r="E11" s="13">
        <f>163.99-SUM(E8:E10)</f>
        <v>-113.15</v>
      </c>
      <c r="F11" s="13">
        <f>85-SUM(F8:F10)</f>
        <v>163.3</v>
      </c>
      <c r="G11" s="13">
        <f>121-SUM(G8:G10)</f>
        <v>382.9</v>
      </c>
      <c r="H11" s="13">
        <f>E11+F11</f>
        <v>50.15</v>
      </c>
      <c r="I11" s="13">
        <f>AVERAGE(H8:H11)</f>
        <v>62.2475</v>
      </c>
      <c r="J11" s="13">
        <f>-(G11-D11)+J10</f>
        <v>89.36</v>
      </c>
    </row>
    <row r="12" ht="20.05" customHeight="1">
      <c r="B12" s="35">
        <v>2017</v>
      </c>
      <c r="C12" s="16">
        <v>735.76</v>
      </c>
      <c r="D12" s="13"/>
      <c r="E12" s="13">
        <v>196.4</v>
      </c>
      <c r="F12" s="13">
        <v>-158.6</v>
      </c>
      <c r="G12" s="13">
        <v>-116.8</v>
      </c>
      <c r="H12" s="13">
        <f>E12+F12</f>
        <v>37.8</v>
      </c>
      <c r="I12" s="13">
        <f>AVERAGE(H9:H12)</f>
        <v>48.0925</v>
      </c>
      <c r="J12" s="13">
        <f>-(G12-D12)+J11</f>
        <v>206.16</v>
      </c>
    </row>
    <row r="13" ht="20.05" customHeight="1">
      <c r="B13" s="31"/>
      <c r="C13" s="16">
        <f>1407-C12</f>
        <v>671.24</v>
      </c>
      <c r="D13" s="13"/>
      <c r="E13" s="13">
        <f>243.37-E12</f>
        <v>46.97</v>
      </c>
      <c r="F13" s="13">
        <f>-123.4-F12</f>
        <v>35.2</v>
      </c>
      <c r="G13" s="13">
        <f>-27.79-G12</f>
        <v>89.01000000000001</v>
      </c>
      <c r="H13" s="13">
        <f>E13+F13</f>
        <v>82.17</v>
      </c>
      <c r="I13" s="13">
        <f>AVERAGE(H10:H13)</f>
        <v>42.37</v>
      </c>
      <c r="J13" s="13">
        <f>-(G13-D13)+J12</f>
        <v>117.15</v>
      </c>
    </row>
    <row r="14" ht="20.05" customHeight="1">
      <c r="B14" s="31"/>
      <c r="C14" s="16">
        <f>2138.7-SUM(C12:C13)</f>
        <v>731.7</v>
      </c>
      <c r="D14" s="13"/>
      <c r="E14" s="13">
        <f>501-SUM(E12:E13)</f>
        <v>257.63</v>
      </c>
      <c r="F14" s="13">
        <f>-263.7-SUM(F12:F13)</f>
        <v>-140.3</v>
      </c>
      <c r="G14" s="13">
        <f>-62-SUM(G12:G13)</f>
        <v>-34.21</v>
      </c>
      <c r="H14" s="13">
        <f>E14+F14</f>
        <v>117.33</v>
      </c>
      <c r="I14" s="13">
        <f>AVERAGE(H11:H14)</f>
        <v>71.8625</v>
      </c>
      <c r="J14" s="13">
        <f>-(G14-D14)+J13</f>
        <v>151.36</v>
      </c>
    </row>
    <row r="15" ht="20.05" customHeight="1">
      <c r="B15" s="31"/>
      <c r="C15" s="16">
        <f>2939.5-SUM(C12:C14)</f>
        <v>800.8</v>
      </c>
      <c r="D15" s="13"/>
      <c r="E15" s="13">
        <f>665.7-SUM(E12:E14)</f>
        <v>164.7</v>
      </c>
      <c r="F15" s="13">
        <f>-367-SUM(F12:F14)</f>
        <v>-103.3</v>
      </c>
      <c r="G15" s="13">
        <f>110-SUM(G12:G14)</f>
        <v>172</v>
      </c>
      <c r="H15" s="13">
        <f>E15+F15</f>
        <v>61.4</v>
      </c>
      <c r="I15" s="13">
        <f>AVERAGE(H12:H15)</f>
        <v>74.675</v>
      </c>
      <c r="J15" s="13">
        <f>-(G15-D15)+J14</f>
        <v>-20.64</v>
      </c>
    </row>
    <row r="16" ht="20.05" customHeight="1">
      <c r="B16" s="35">
        <v>2018</v>
      </c>
      <c r="C16" s="16">
        <v>765.5</v>
      </c>
      <c r="D16" s="13"/>
      <c r="E16" s="13">
        <v>220.9</v>
      </c>
      <c r="F16" s="13">
        <v>-352.4</v>
      </c>
      <c r="G16" s="13">
        <v>87.37</v>
      </c>
      <c r="H16" s="13">
        <f>E16+F16</f>
        <v>-131.5</v>
      </c>
      <c r="I16" s="13">
        <f>AVERAGE(H13:H16)</f>
        <v>32.35</v>
      </c>
      <c r="J16" s="13">
        <f>-(G16-D16)+J15</f>
        <v>-108.01</v>
      </c>
    </row>
    <row r="17" ht="20.05" customHeight="1">
      <c r="B17" s="31"/>
      <c r="C17" s="16">
        <f>1522-C16</f>
        <v>756.5</v>
      </c>
      <c r="D17" s="13"/>
      <c r="E17" s="13">
        <f>267.48-E16</f>
        <v>46.58</v>
      </c>
      <c r="F17" s="13">
        <f>-374.4-F16</f>
        <v>-22</v>
      </c>
      <c r="G17" s="13">
        <f>216.5-G16</f>
        <v>129.13</v>
      </c>
      <c r="H17" s="13">
        <f>E17+F17</f>
        <v>24.58</v>
      </c>
      <c r="I17" s="13">
        <f>AVERAGE(H14:H17)</f>
        <v>17.9525</v>
      </c>
      <c r="J17" s="13">
        <f>-(G17-D17)+J16</f>
        <v>-237.14</v>
      </c>
    </row>
    <row r="18" ht="20.05" customHeight="1">
      <c r="B18" s="31"/>
      <c r="C18" s="16">
        <f>2235.9-SUM(C16:C17)</f>
        <v>713.9</v>
      </c>
      <c r="D18" s="13"/>
      <c r="E18" s="13">
        <f>448.5-SUM(E16:E17)</f>
        <v>181.02</v>
      </c>
      <c r="F18" s="13">
        <f>-737.7-SUM(F16:F17)</f>
        <v>-363.3</v>
      </c>
      <c r="G18" s="13">
        <f>393.8-SUM(G16:G17)</f>
        <v>177.3</v>
      </c>
      <c r="H18" s="13">
        <f>E18+F18</f>
        <v>-182.28</v>
      </c>
      <c r="I18" s="13">
        <f>AVERAGE(H15:H18)</f>
        <v>-56.95</v>
      </c>
      <c r="J18" s="13">
        <f>-(G18-D18)+J17</f>
        <v>-414.44</v>
      </c>
    </row>
    <row r="19" ht="20.05" customHeight="1">
      <c r="B19" s="31"/>
      <c r="C19" s="16">
        <f>3111.7-SUM(C16:C18)</f>
        <v>875.8</v>
      </c>
      <c r="D19" s="13"/>
      <c r="E19" s="13">
        <f>544.5-SUM(E16:E18)</f>
        <v>96</v>
      </c>
      <c r="F19" s="13">
        <f>-750.7-SUM(F16:F18)</f>
        <v>-13</v>
      </c>
      <c r="G19" s="13">
        <f>347.9-SUM(G16:G18)</f>
        <v>-45.9</v>
      </c>
      <c r="H19" s="13">
        <f>E19+F19</f>
        <v>83</v>
      </c>
      <c r="I19" s="13">
        <f>AVERAGE(H16:H19)</f>
        <v>-51.55</v>
      </c>
      <c r="J19" s="13">
        <f>-(G19-D19)+J18</f>
        <v>-368.54</v>
      </c>
    </row>
    <row r="20" ht="20.05" customHeight="1">
      <c r="B20" s="35">
        <v>2019</v>
      </c>
      <c r="C20" s="16">
        <v>780.59</v>
      </c>
      <c r="D20" s="13">
        <v>-15.4</v>
      </c>
      <c r="E20" s="13">
        <v>128.76</v>
      </c>
      <c r="F20" s="13">
        <v>-41.99</v>
      </c>
      <c r="G20" s="13">
        <v>-79.90000000000001</v>
      </c>
      <c r="H20" s="13">
        <f>E20+F20</f>
        <v>86.77</v>
      </c>
      <c r="I20" s="13">
        <f>AVERAGE(H17:H20)</f>
        <v>3.0175</v>
      </c>
      <c r="J20" s="13">
        <f>-(G20-D20)+J19</f>
        <v>-304.04</v>
      </c>
    </row>
    <row r="21" ht="20.05" customHeight="1">
      <c r="B21" s="31"/>
      <c r="C21" s="16">
        <f>1711-C20</f>
        <v>930.41</v>
      </c>
      <c r="D21" s="13">
        <f>-31.1-D20</f>
        <v>-15.7</v>
      </c>
      <c r="E21" s="13">
        <f>273.5-E20</f>
        <v>144.74</v>
      </c>
      <c r="F21" s="13">
        <f>-30-F20</f>
        <v>11.99</v>
      </c>
      <c r="G21" s="13">
        <f>-133.4-G20</f>
        <v>-53.5</v>
      </c>
      <c r="H21" s="13">
        <f>E21+F21</f>
        <v>156.73</v>
      </c>
      <c r="I21" s="13">
        <f>AVERAGE(H18:H21)</f>
        <v>36.055</v>
      </c>
      <c r="J21" s="13">
        <f>-(G21-D21)+J20</f>
        <v>-266.24</v>
      </c>
    </row>
    <row r="22" ht="20.05" customHeight="1">
      <c r="B22" s="31"/>
      <c r="C22" s="16">
        <f>2499.08-SUM(C20:C21)</f>
        <v>788.08</v>
      </c>
      <c r="D22" s="13">
        <f>-47.2-SUM(D20:D21)</f>
        <v>-16.1</v>
      </c>
      <c r="E22" s="13">
        <f>439.37-SUM(E20:E21)</f>
        <v>165.87</v>
      </c>
      <c r="F22" s="13">
        <f>83.4-SUM(F20:F21)</f>
        <v>113.4</v>
      </c>
      <c r="G22" s="13">
        <f>-390.7-SUM(G20:G21)</f>
        <v>-257.3</v>
      </c>
      <c r="H22" s="13">
        <f>E22+F22</f>
        <v>279.27</v>
      </c>
      <c r="I22" s="13">
        <f>AVERAGE(H19:H22)</f>
        <v>151.4425</v>
      </c>
      <c r="J22" s="13">
        <f>-(G22-D22)+J21</f>
        <v>-25.04</v>
      </c>
    </row>
    <row r="23" ht="20.05" customHeight="1">
      <c r="B23" s="31"/>
      <c r="C23" s="16">
        <f>3151-SUM(C20:C22)</f>
        <v>651.92</v>
      </c>
      <c r="D23" s="13">
        <f>-63.4-SUM(D20:D22)</f>
        <v>-16.2</v>
      </c>
      <c r="E23" s="13">
        <f>524.7-SUM(E20:E22)</f>
        <v>85.33</v>
      </c>
      <c r="F23" s="13">
        <f>54.7-SUM(F20:F22)</f>
        <v>-28.7</v>
      </c>
      <c r="G23" s="13">
        <f>-561.5-SUM(G20:G22)</f>
        <v>-170.8</v>
      </c>
      <c r="H23" s="13">
        <f>E23+F23</f>
        <v>56.63</v>
      </c>
      <c r="I23" s="13">
        <f>AVERAGE(H20:H23)</f>
        <v>144.85</v>
      </c>
      <c r="J23" s="13">
        <f>-(G23-D23)+J22</f>
        <v>129.56</v>
      </c>
    </row>
    <row r="24" ht="20.05" customHeight="1">
      <c r="B24" s="35">
        <v>2020</v>
      </c>
      <c r="C24" s="16">
        <v>844.8</v>
      </c>
      <c r="D24" s="13">
        <v>-16.3</v>
      </c>
      <c r="E24" s="13">
        <v>215</v>
      </c>
      <c r="F24" s="13">
        <v>-30.35</v>
      </c>
      <c r="G24" s="13">
        <v>-159.89</v>
      </c>
      <c r="H24" s="13">
        <f>E24+F24</f>
        <v>184.65</v>
      </c>
      <c r="I24" s="13">
        <f>AVERAGE(H21:H24)</f>
        <v>169.32</v>
      </c>
      <c r="J24" s="13">
        <f>-(G24-D24)+J23</f>
        <v>273.15</v>
      </c>
    </row>
    <row r="25" ht="20.05" customHeight="1">
      <c r="B25" s="31"/>
      <c r="C25" s="16">
        <f>1436.3-C24</f>
        <v>591.5</v>
      </c>
      <c r="D25" s="13">
        <f>-32.6-D24</f>
        <v>-16.3</v>
      </c>
      <c r="E25" s="13">
        <f>285-E24</f>
        <v>70</v>
      </c>
      <c r="F25" s="13">
        <f>-13.6-F24</f>
        <v>16.75</v>
      </c>
      <c r="G25" s="13">
        <f>-312.5-G24</f>
        <v>-152.61</v>
      </c>
      <c r="H25" s="13">
        <f>E25+F25</f>
        <v>86.75</v>
      </c>
      <c r="I25" s="13">
        <f>AVERAGE(H22:H25)</f>
        <v>151.825</v>
      </c>
      <c r="J25" s="13">
        <f>-(G25-D25)+J24</f>
        <v>409.46</v>
      </c>
    </row>
    <row r="26" ht="20.05" customHeight="1">
      <c r="B26" s="31"/>
      <c r="C26" s="16">
        <f>2171.76-SUM(C24:C25)</f>
        <v>735.46</v>
      </c>
      <c r="D26" s="13">
        <f>-48.9-SUM(D24:D25)</f>
        <v>-16.3</v>
      </c>
      <c r="E26" s="13">
        <f>502.7-SUM(E24:E25)</f>
        <v>217.7</v>
      </c>
      <c r="F26" s="13">
        <f>-13-SUM(F24:F25)</f>
        <v>0.6</v>
      </c>
      <c r="G26" s="13">
        <f>-448-SUM(G24:G25)</f>
        <v>-135.5</v>
      </c>
      <c r="H26" s="13">
        <f>E26+F26</f>
        <v>218.3</v>
      </c>
      <c r="I26" s="13">
        <f>AVERAGE(H23:H26)</f>
        <v>136.5825</v>
      </c>
      <c r="J26" s="13">
        <f>-(G26-D26)+J25</f>
        <v>528.66</v>
      </c>
    </row>
    <row r="27" ht="20.05" customHeight="1">
      <c r="B27" s="31"/>
      <c r="C27" s="16">
        <v>686.24</v>
      </c>
      <c r="D27" s="13">
        <f>-55.7-SUM(D24:D26)</f>
        <v>-6.8</v>
      </c>
      <c r="E27" s="13">
        <v>41.3</v>
      </c>
      <c r="F27" s="13">
        <v>-148</v>
      </c>
      <c r="G27" s="13">
        <v>178</v>
      </c>
      <c r="H27" s="13">
        <f>E27+F27</f>
        <v>-106.7</v>
      </c>
      <c r="I27" s="13">
        <f>AVERAGE(H24:H27)</f>
        <v>95.75</v>
      </c>
      <c r="J27" s="13">
        <f>-(G27-D27)+J26</f>
        <v>343.86</v>
      </c>
    </row>
    <row r="28" ht="20.05" customHeight="1">
      <c r="B28" s="35">
        <v>2021</v>
      </c>
      <c r="C28" s="16">
        <v>661</v>
      </c>
      <c r="D28" s="13">
        <v>-6.5</v>
      </c>
      <c r="E28" s="13">
        <v>19</v>
      </c>
      <c r="F28" s="13">
        <v>-157.7</v>
      </c>
      <c r="G28" s="13">
        <f>38.8</f>
        <v>38.8</v>
      </c>
      <c r="H28" s="13">
        <f>E28+F28</f>
        <v>-138.7</v>
      </c>
      <c r="I28" s="13">
        <f>AVERAGE(H25:H28)</f>
        <v>14.9125</v>
      </c>
      <c r="J28" s="13">
        <f>-(G28-D28)+J27</f>
        <v>298.56</v>
      </c>
    </row>
    <row r="29" ht="20.05" customHeight="1">
      <c r="B29" s="31"/>
      <c r="C29" s="16">
        <f>1842.8-C28</f>
        <v>1181.8</v>
      </c>
      <c r="D29" s="13">
        <f>-12.8-D28</f>
        <v>-6.3</v>
      </c>
      <c r="E29" s="13">
        <f>441-E28</f>
        <v>422</v>
      </c>
      <c r="F29" s="13">
        <f>-257.5-F28</f>
        <v>-99.8</v>
      </c>
      <c r="G29" s="13">
        <f>-249-G28</f>
        <v>-287.8</v>
      </c>
      <c r="H29" s="13">
        <f>E29+F29</f>
        <v>322.2</v>
      </c>
      <c r="I29" s="13">
        <f>AVERAGE(H26:H29)</f>
        <v>73.77500000000001</v>
      </c>
      <c r="J29" s="13">
        <f>-(G29-D29)+J28</f>
        <v>580.0599999999999</v>
      </c>
    </row>
    <row r="30" ht="20.05" customHeight="1">
      <c r="B30" s="31"/>
      <c r="C30" s="16">
        <f>2725-SUM(C28:C29)</f>
        <v>882.2</v>
      </c>
      <c r="D30" s="13">
        <f>-19.2-SUM(D28:D29)</f>
        <v>-6.4</v>
      </c>
      <c r="E30" s="13">
        <f>676.4-SUM(E28:E29)</f>
        <v>235.4</v>
      </c>
      <c r="F30" s="13">
        <f>-282.4-SUM(F28:F29)</f>
        <v>-24.9</v>
      </c>
      <c r="G30" s="13">
        <f>-293.4-SUM(G28:G29)</f>
        <v>-44.4</v>
      </c>
      <c r="H30" s="13">
        <f>E30+F30</f>
        <v>210.5</v>
      </c>
      <c r="I30" s="13">
        <f>AVERAGE(H27:H30)</f>
        <v>71.825</v>
      </c>
      <c r="J30" s="13">
        <f>-(G30-D30)+J29</f>
        <v>618.0599999999999</v>
      </c>
    </row>
    <row r="31" ht="20.05" customHeight="1">
      <c r="B31" s="31"/>
      <c r="C31" s="16"/>
      <c r="D31" s="13"/>
      <c r="E31" s="13"/>
      <c r="F31" s="13"/>
      <c r="G31" s="13"/>
      <c r="H31" s="13"/>
      <c r="I31" s="13">
        <f>SUM('Model'!E8:E9)</f>
        <v>132.36825653</v>
      </c>
      <c r="J31" s="13">
        <f>'Model'!E33</f>
        <v>1071.36723553</v>
      </c>
    </row>
  </sheetData>
  <mergeCells count="1">
    <mergeCell ref="B2:J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41" customWidth="1"/>
    <col min="2" max="2" width="8.20312" style="41" customWidth="1"/>
    <col min="3" max="11" width="9.45312" style="41" customWidth="1"/>
    <col min="12" max="16384" width="16.3516" style="41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5">
        <v>43</v>
      </c>
      <c r="C3" t="s" s="25">
        <v>51</v>
      </c>
      <c r="D3" t="s" s="25">
        <v>52</v>
      </c>
      <c r="E3" t="s" s="25">
        <v>53</v>
      </c>
      <c r="F3" t="s" s="25">
        <v>23</v>
      </c>
      <c r="G3" t="s" s="25">
        <v>12</v>
      </c>
      <c r="H3" t="s" s="25">
        <v>13</v>
      </c>
      <c r="I3" t="s" s="25">
        <v>25</v>
      </c>
      <c r="J3" t="s" s="25">
        <v>26</v>
      </c>
      <c r="K3" t="s" s="25">
        <v>34</v>
      </c>
    </row>
    <row r="4" ht="20.25" customHeight="1">
      <c r="B4" s="26">
        <v>2015</v>
      </c>
      <c r="C4" s="39">
        <f>81+14</f>
        <v>95</v>
      </c>
      <c r="D4" s="40">
        <v>6478</v>
      </c>
      <c r="E4" s="40">
        <f>D4-C4</f>
        <v>6383</v>
      </c>
      <c r="F4" s="40">
        <v>4130</v>
      </c>
      <c r="G4" s="40">
        <v>4008</v>
      </c>
      <c r="H4" s="40">
        <v>2470</v>
      </c>
      <c r="I4" s="40">
        <f>G4+H4-C4-E4</f>
        <v>0</v>
      </c>
      <c r="J4" s="40">
        <f>C4-G4</f>
        <v>-3913</v>
      </c>
      <c r="K4" s="40"/>
    </row>
    <row r="5" ht="20.05" customHeight="1">
      <c r="B5" s="31"/>
      <c r="C5" s="16">
        <v>87</v>
      </c>
      <c r="D5" s="13">
        <v>6555</v>
      </c>
      <c r="E5" s="13">
        <f>D5-C5</f>
        <v>6468</v>
      </c>
      <c r="F5" s="13">
        <v>4204</v>
      </c>
      <c r="G5" s="13">
        <v>4055</v>
      </c>
      <c r="H5" s="13">
        <v>2500</v>
      </c>
      <c r="I5" s="13">
        <f>G5+H5-C5-E5</f>
        <v>0</v>
      </c>
      <c r="J5" s="13">
        <f>C5-G5</f>
        <v>-3968</v>
      </c>
      <c r="K5" s="13"/>
    </row>
    <row r="6" ht="20.05" customHeight="1">
      <c r="B6" s="31"/>
      <c r="C6" s="16">
        <v>147</v>
      </c>
      <c r="D6" s="13">
        <v>6656</v>
      </c>
      <c r="E6" s="13">
        <f>D6-C6</f>
        <v>6509</v>
      </c>
      <c r="F6" s="13">
        <v>4279</v>
      </c>
      <c r="G6" s="13">
        <v>4077</v>
      </c>
      <c r="H6" s="13">
        <v>2579</v>
      </c>
      <c r="I6" s="13">
        <f>G6+H6-C6-E6</f>
        <v>0</v>
      </c>
      <c r="J6" s="13">
        <f>C6-G6</f>
        <v>-3930</v>
      </c>
      <c r="K6" s="13"/>
    </row>
    <row r="7" ht="20.05" customHeight="1">
      <c r="B7" s="31"/>
      <c r="C7" s="16">
        <f>167+5</f>
        <v>172</v>
      </c>
      <c r="D7" s="13">
        <v>7038</v>
      </c>
      <c r="E7" s="13">
        <f>D7-C7</f>
        <v>6866</v>
      </c>
      <c r="F7" s="13">
        <v>4183</v>
      </c>
      <c r="G7" s="13">
        <v>4415</v>
      </c>
      <c r="H7" s="13">
        <v>2623</v>
      </c>
      <c r="I7" s="13">
        <f>G7+H7-C7-E7</f>
        <v>0</v>
      </c>
      <c r="J7" s="13">
        <f>C7-G7</f>
        <v>-4243</v>
      </c>
      <c r="K7" s="13"/>
    </row>
    <row r="8" ht="20.05" customHeight="1">
      <c r="B8" s="35">
        <v>2016</v>
      </c>
      <c r="C8" s="16">
        <v>126</v>
      </c>
      <c r="D8" s="13">
        <v>6928</v>
      </c>
      <c r="E8" s="13">
        <f>D8-C8</f>
        <v>6802</v>
      </c>
      <c r="F8" s="13">
        <v>4255</v>
      </c>
      <c r="G8" s="13">
        <v>4276</v>
      </c>
      <c r="H8" s="13">
        <v>2652</v>
      </c>
      <c r="I8" s="13">
        <f>G8+H8-C8-E8</f>
        <v>0</v>
      </c>
      <c r="J8" s="13">
        <f>C8-G8</f>
        <v>-4150</v>
      </c>
      <c r="K8" s="13"/>
    </row>
    <row r="9" ht="20.05" customHeight="1">
      <c r="B9" s="31"/>
      <c r="C9" s="16">
        <v>216</v>
      </c>
      <c r="D9" s="13">
        <v>6925</v>
      </c>
      <c r="E9" s="13">
        <f>D9-C9</f>
        <v>6709</v>
      </c>
      <c r="F9" s="13">
        <v>4321</v>
      </c>
      <c r="G9" s="13">
        <v>4261</v>
      </c>
      <c r="H9" s="13">
        <v>2664</v>
      </c>
      <c r="I9" s="13">
        <f>G9+H9-C9-E9</f>
        <v>0</v>
      </c>
      <c r="J9" s="13">
        <f>C9-G9</f>
        <v>-4045</v>
      </c>
      <c r="K9" s="13"/>
    </row>
    <row r="10" ht="20.05" customHeight="1">
      <c r="B10" s="31"/>
      <c r="C10" s="16">
        <v>109</v>
      </c>
      <c r="D10" s="13">
        <v>6853</v>
      </c>
      <c r="E10" s="13">
        <f>D10-C10</f>
        <v>6744</v>
      </c>
      <c r="F10" s="13">
        <v>4396</v>
      </c>
      <c r="G10" s="13">
        <v>4135</v>
      </c>
      <c r="H10" s="13">
        <v>2718</v>
      </c>
      <c r="I10" s="13">
        <f>G10+H10-C10-E10</f>
        <v>0</v>
      </c>
      <c r="J10" s="13">
        <f>C10-G10</f>
        <v>-4026</v>
      </c>
      <c r="K10" s="13"/>
    </row>
    <row r="11" ht="20.05" customHeight="1">
      <c r="B11" s="31"/>
      <c r="C11" s="16">
        <f>184+27</f>
        <v>211</v>
      </c>
      <c r="D11" s="13">
        <v>6878</v>
      </c>
      <c r="E11" s="13">
        <f>D11-C11</f>
        <v>6667</v>
      </c>
      <c r="F11" s="13">
        <v>4466</v>
      </c>
      <c r="G11" s="13">
        <v>4059</v>
      </c>
      <c r="H11" s="13">
        <v>2819</v>
      </c>
      <c r="I11" s="13">
        <f>G11+H11-C11-E11</f>
        <v>0</v>
      </c>
      <c r="J11" s="13">
        <f>C11-G11</f>
        <v>-3848</v>
      </c>
      <c r="K11" s="13"/>
    </row>
    <row r="12" ht="20.05" customHeight="1">
      <c r="B12" s="35">
        <v>2017</v>
      </c>
      <c r="C12" s="16">
        <f>132</f>
        <v>132</v>
      </c>
      <c r="D12" s="13">
        <v>6868</v>
      </c>
      <c r="E12" s="13">
        <f>D12-C12</f>
        <v>6736</v>
      </c>
      <c r="F12" s="13">
        <v>4540</v>
      </c>
      <c r="G12" s="13">
        <v>3960</v>
      </c>
      <c r="H12" s="13">
        <v>2908</v>
      </c>
      <c r="I12" s="13">
        <f>G12+H12-C12-E12</f>
        <v>0</v>
      </c>
      <c r="J12" s="13">
        <f>C12-G12</f>
        <v>-3828</v>
      </c>
      <c r="K12" s="13"/>
    </row>
    <row r="13" ht="20.05" customHeight="1">
      <c r="B13" s="31"/>
      <c r="C13" s="16">
        <f>288+15</f>
        <v>303</v>
      </c>
      <c r="D13" s="13">
        <v>7146</v>
      </c>
      <c r="E13" s="13">
        <f>D13-C13</f>
        <v>6843</v>
      </c>
      <c r="F13" s="13">
        <v>4531</v>
      </c>
      <c r="G13" s="13">
        <v>4163</v>
      </c>
      <c r="H13" s="13">
        <v>2983</v>
      </c>
      <c r="I13" s="13">
        <f>G13+H13-C13-E13</f>
        <v>0</v>
      </c>
      <c r="J13" s="13">
        <f>C13-G13</f>
        <v>-3860</v>
      </c>
      <c r="K13" s="13"/>
    </row>
    <row r="14" ht="20.05" customHeight="1">
      <c r="B14" s="31"/>
      <c r="C14" s="16">
        <f>384</f>
        <v>384</v>
      </c>
      <c r="D14" s="13">
        <v>7282</v>
      </c>
      <c r="E14" s="13">
        <f>D14-C14</f>
        <v>6898</v>
      </c>
      <c r="F14" s="13">
        <v>4602</v>
      </c>
      <c r="G14" s="13">
        <v>4185</v>
      </c>
      <c r="H14" s="13">
        <v>3097</v>
      </c>
      <c r="I14" s="13">
        <f>G14+H14-C14-E14</f>
        <v>0</v>
      </c>
      <c r="J14" s="13">
        <f>C14-G14</f>
        <v>-3801</v>
      </c>
      <c r="K14" s="13"/>
    </row>
    <row r="15" ht="20.05" customHeight="1">
      <c r="B15" s="31"/>
      <c r="C15" s="16">
        <v>620</v>
      </c>
      <c r="D15" s="13">
        <v>7634</v>
      </c>
      <c r="E15" s="13">
        <f>D15-C15</f>
        <v>7014</v>
      </c>
      <c r="F15" s="13">
        <v>4674</v>
      </c>
      <c r="G15" s="13">
        <v>4417</v>
      </c>
      <c r="H15" s="13">
        <v>3217</v>
      </c>
      <c r="I15" s="13">
        <f>G15+H15-C15-E15</f>
        <v>0</v>
      </c>
      <c r="J15" s="13">
        <f>C15-G15</f>
        <v>-3797</v>
      </c>
      <c r="K15" s="13"/>
    </row>
    <row r="16" ht="20.05" customHeight="1">
      <c r="B16" s="35">
        <v>2018</v>
      </c>
      <c r="C16" s="16">
        <v>576</v>
      </c>
      <c r="D16" s="13">
        <v>7983</v>
      </c>
      <c r="E16" s="13">
        <f>D16-C16</f>
        <v>7407</v>
      </c>
      <c r="F16" s="13">
        <v>4744</v>
      </c>
      <c r="G16" s="13">
        <v>4611</v>
      </c>
      <c r="H16" s="13">
        <v>3372</v>
      </c>
      <c r="I16" s="13">
        <f>G16+H16-C16-E16</f>
        <v>0</v>
      </c>
      <c r="J16" s="13">
        <f>C16-G16</f>
        <v>-4035</v>
      </c>
      <c r="K16" s="13"/>
    </row>
    <row r="17" ht="20.05" customHeight="1">
      <c r="B17" s="31"/>
      <c r="C17" s="16">
        <v>726</v>
      </c>
      <c r="D17" s="13">
        <v>8267</v>
      </c>
      <c r="E17" s="13">
        <f>D17-C17</f>
        <v>7541</v>
      </c>
      <c r="F17" s="13">
        <v>4816</v>
      </c>
      <c r="G17" s="13">
        <v>4749</v>
      </c>
      <c r="H17" s="13">
        <v>3518</v>
      </c>
      <c r="I17" s="13">
        <f>G17+H17-C17-E17</f>
        <v>0</v>
      </c>
      <c r="J17" s="13">
        <f>C17-G17</f>
        <v>-4023</v>
      </c>
      <c r="K17" s="13"/>
    </row>
    <row r="18" ht="20.05" customHeight="1">
      <c r="B18" s="31"/>
      <c r="C18" s="16">
        <v>726</v>
      </c>
      <c r="D18" s="13">
        <v>8723</v>
      </c>
      <c r="E18" s="13">
        <f>D18-C18</f>
        <v>7997</v>
      </c>
      <c r="F18" s="13">
        <v>4889</v>
      </c>
      <c r="G18" s="13">
        <v>5030</v>
      </c>
      <c r="H18" s="13">
        <v>3693</v>
      </c>
      <c r="I18" s="13">
        <f>G18+H18-C18-E18</f>
        <v>0</v>
      </c>
      <c r="J18" s="13">
        <f>C18-G18</f>
        <v>-4304</v>
      </c>
      <c r="K18" s="13"/>
    </row>
    <row r="19" ht="20.05" customHeight="1">
      <c r="B19" s="31"/>
      <c r="C19" s="16">
        <v>756</v>
      </c>
      <c r="D19" s="13">
        <v>8751</v>
      </c>
      <c r="E19" s="13">
        <f>D19-C19</f>
        <v>7995</v>
      </c>
      <c r="F19" s="13">
        <v>4963</v>
      </c>
      <c r="G19" s="13">
        <v>4980</v>
      </c>
      <c r="H19" s="13">
        <v>3771</v>
      </c>
      <c r="I19" s="13">
        <f>G19+H19-C19-E19</f>
        <v>0</v>
      </c>
      <c r="J19" s="13">
        <f>C19-G19</f>
        <v>-4224</v>
      </c>
      <c r="K19" s="13"/>
    </row>
    <row r="20" ht="20.05" customHeight="1">
      <c r="B20" s="35">
        <v>2019</v>
      </c>
      <c r="C20" s="16">
        <v>761</v>
      </c>
      <c r="D20" s="13">
        <v>8791</v>
      </c>
      <c r="E20" s="13">
        <f>D20-C20</f>
        <v>8030</v>
      </c>
      <c r="F20" s="13">
        <v>5037</v>
      </c>
      <c r="G20" s="13">
        <v>4945</v>
      </c>
      <c r="H20" s="13">
        <v>3846</v>
      </c>
      <c r="I20" s="13">
        <f>G20+H20-C20-E20</f>
        <v>0</v>
      </c>
      <c r="J20" s="13">
        <f>C20-G20</f>
        <v>-4184</v>
      </c>
      <c r="K20" s="13"/>
    </row>
    <row r="21" ht="20.05" customHeight="1">
      <c r="B21" s="31"/>
      <c r="C21" s="16">
        <v>865</v>
      </c>
      <c r="D21" s="13">
        <v>8841</v>
      </c>
      <c r="E21" s="13">
        <f>D21-C21</f>
        <v>7976</v>
      </c>
      <c r="F21" s="13">
        <v>5113</v>
      </c>
      <c r="G21" s="13">
        <v>4958</v>
      </c>
      <c r="H21" s="13">
        <v>3883</v>
      </c>
      <c r="I21" s="13">
        <f>G21+H21-C21-E21</f>
        <v>0</v>
      </c>
      <c r="J21" s="13">
        <f>C21-G21</f>
        <v>-4093</v>
      </c>
      <c r="K21" s="13"/>
    </row>
    <row r="22" ht="20.05" customHeight="1">
      <c r="B22" s="31"/>
      <c r="C22" s="16">
        <v>887</v>
      </c>
      <c r="D22" s="13">
        <v>8667</v>
      </c>
      <c r="E22" s="13">
        <f>D22-C22</f>
        <v>7780</v>
      </c>
      <c r="F22" s="13">
        <v>5185</v>
      </c>
      <c r="G22" s="13">
        <v>4692</v>
      </c>
      <c r="H22" s="13">
        <v>3975</v>
      </c>
      <c r="I22" s="13">
        <f>G22+H22-C22-E22</f>
        <v>0</v>
      </c>
      <c r="J22" s="13">
        <f>C22-G22</f>
        <v>-3805</v>
      </c>
      <c r="K22" s="13"/>
    </row>
    <row r="23" ht="20.05" customHeight="1">
      <c r="B23" s="31"/>
      <c r="C23" s="16">
        <v>774</v>
      </c>
      <c r="D23" s="13">
        <v>8502</v>
      </c>
      <c r="E23" s="13">
        <f>D23-C23</f>
        <v>7728</v>
      </c>
      <c r="F23" s="13">
        <v>5261</v>
      </c>
      <c r="G23" s="13">
        <v>4496</v>
      </c>
      <c r="H23" s="13">
        <v>4006</v>
      </c>
      <c r="I23" s="13">
        <f>G23+H23-C23-E23</f>
        <v>0</v>
      </c>
      <c r="J23" s="13">
        <f>C23-G23</f>
        <v>-3722</v>
      </c>
      <c r="K23" s="13"/>
    </row>
    <row r="24" ht="20.05" customHeight="1">
      <c r="B24" s="35">
        <v>2020</v>
      </c>
      <c r="C24" s="16">
        <f>784+17</f>
        <v>801</v>
      </c>
      <c r="D24" s="13">
        <v>8386</v>
      </c>
      <c r="E24" s="13">
        <f>D24-C24</f>
        <v>7585</v>
      </c>
      <c r="F24" s="13">
        <v>5327</v>
      </c>
      <c r="G24" s="13">
        <v>4205</v>
      </c>
      <c r="H24" s="13">
        <v>4181</v>
      </c>
      <c r="I24" s="13">
        <f>G24+H24-C24-E24</f>
        <v>0</v>
      </c>
      <c r="J24" s="13">
        <f>C24-G24</f>
        <v>-3404</v>
      </c>
      <c r="K24" s="13"/>
    </row>
    <row r="25" ht="20.05" customHeight="1">
      <c r="B25" s="31"/>
      <c r="C25" s="16">
        <v>732</v>
      </c>
      <c r="D25" s="13">
        <v>8311</v>
      </c>
      <c r="E25" s="13">
        <f>D25-C25</f>
        <v>7579</v>
      </c>
      <c r="F25" s="13">
        <v>5396</v>
      </c>
      <c r="G25" s="13">
        <v>4106</v>
      </c>
      <c r="H25" s="13">
        <v>4205</v>
      </c>
      <c r="I25" s="13">
        <f>G25+H25-C25-E25</f>
        <v>0</v>
      </c>
      <c r="J25" s="13">
        <f>C25-G25</f>
        <v>-3374</v>
      </c>
      <c r="K25" s="13"/>
    </row>
    <row r="26" ht="20.05" customHeight="1">
      <c r="B26" s="31"/>
      <c r="C26" s="16">
        <v>808</v>
      </c>
      <c r="D26" s="13">
        <v>8248</v>
      </c>
      <c r="E26" s="13">
        <f>D26-C26</f>
        <v>7440</v>
      </c>
      <c r="F26" s="13">
        <v>5465</v>
      </c>
      <c r="G26" s="13">
        <v>3978</v>
      </c>
      <c r="H26" s="13">
        <v>4270</v>
      </c>
      <c r="I26" s="13">
        <f>G26+H26-C26-E26</f>
        <v>0</v>
      </c>
      <c r="J26" s="13">
        <f>C26-G26</f>
        <v>-3170</v>
      </c>
      <c r="K26" s="13"/>
    </row>
    <row r="27" ht="20.05" customHeight="1">
      <c r="B27" s="31"/>
      <c r="C27" s="16">
        <v>863</v>
      </c>
      <c r="D27" s="13">
        <v>8496</v>
      </c>
      <c r="E27" s="13">
        <f>D27-C27</f>
        <v>7633</v>
      </c>
      <c r="F27" s="13">
        <f>5478+34</f>
        <v>5512</v>
      </c>
      <c r="G27" s="13">
        <v>4246</v>
      </c>
      <c r="H27" s="13">
        <v>4250</v>
      </c>
      <c r="I27" s="13">
        <f>G27+H27-C27-E27</f>
        <v>0</v>
      </c>
      <c r="J27" s="13">
        <f>C27-G27</f>
        <v>-3383</v>
      </c>
      <c r="K27" s="13"/>
    </row>
    <row r="28" ht="20.05" customHeight="1">
      <c r="B28" s="35">
        <v>2021</v>
      </c>
      <c r="C28" s="16">
        <v>767</v>
      </c>
      <c r="D28" s="13">
        <v>8662</v>
      </c>
      <c r="E28" s="13">
        <f>D28-C28</f>
        <v>7895</v>
      </c>
      <c r="F28" s="13">
        <f>36+5543</f>
        <v>5579</v>
      </c>
      <c r="G28" s="13">
        <v>4274</v>
      </c>
      <c r="H28" s="13">
        <v>4388</v>
      </c>
      <c r="I28" s="13">
        <f>G28+H28-C28-E28</f>
        <v>0</v>
      </c>
      <c r="J28" s="13">
        <f>C28-G28</f>
        <v>-3507</v>
      </c>
      <c r="K28" s="13"/>
    </row>
    <row r="29" ht="20.05" customHeight="1">
      <c r="B29" s="31"/>
      <c r="C29" s="16">
        <v>796</v>
      </c>
      <c r="D29" s="13">
        <v>8473</v>
      </c>
      <c r="E29" s="13">
        <f>D29-C29</f>
        <v>7677</v>
      </c>
      <c r="F29" s="13">
        <f>5611+38</f>
        <v>5649</v>
      </c>
      <c r="G29" s="13">
        <v>3941</v>
      </c>
      <c r="H29" s="13">
        <v>4532</v>
      </c>
      <c r="I29" s="13">
        <f>G29+H29-C29-E29</f>
        <v>0</v>
      </c>
      <c r="J29" s="13">
        <f>C29-G29</f>
        <v>-3145</v>
      </c>
      <c r="K29" s="13"/>
    </row>
    <row r="30" ht="20.05" customHeight="1">
      <c r="B30" s="31"/>
      <c r="C30" s="16">
        <v>967</v>
      </c>
      <c r="D30" s="13">
        <v>8618</v>
      </c>
      <c r="E30" s="13">
        <f>D30-C30</f>
        <v>7651</v>
      </c>
      <c r="F30" s="13">
        <f>5676+41</f>
        <v>5717</v>
      </c>
      <c r="G30" s="13">
        <v>3998</v>
      </c>
      <c r="H30" s="13">
        <v>4620</v>
      </c>
      <c r="I30" s="13">
        <f>G30+H30-C30-E30</f>
        <v>0</v>
      </c>
      <c r="J30" s="13">
        <f>C30-G30</f>
        <v>-3031</v>
      </c>
      <c r="K30" s="13">
        <f>J30</f>
        <v>-3031</v>
      </c>
    </row>
    <row r="31" ht="20.05" customHeight="1">
      <c r="B31" s="31"/>
      <c r="C31" s="16"/>
      <c r="D31" s="13"/>
      <c r="E31" s="13"/>
      <c r="F31" s="13"/>
      <c r="G31" s="13"/>
      <c r="H31" s="13"/>
      <c r="I31" s="13"/>
      <c r="J31" s="13"/>
      <c r="K31" s="13">
        <f>'Model'!E30</f>
        <v>-2685.984935129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8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85156" style="42" customWidth="1"/>
    <col min="2" max="4" width="11.0547" style="42" customWidth="1"/>
    <col min="5" max="16384" width="16.3516" style="42" customWidth="1"/>
  </cols>
  <sheetData>
    <row r="1" ht="50" customHeight="1"/>
    <row r="2" ht="27.65" customHeight="1">
      <c r="B2" t="s" s="2">
        <v>54</v>
      </c>
      <c r="C2" s="2"/>
      <c r="D2" s="2"/>
    </row>
    <row r="3" ht="20.25" customHeight="1">
      <c r="B3" s="4"/>
      <c r="C3" t="s" s="3">
        <v>54</v>
      </c>
      <c r="D3" t="s" s="3">
        <v>55</v>
      </c>
    </row>
    <row r="4" ht="20.25" customHeight="1">
      <c r="B4" s="26">
        <v>2015</v>
      </c>
      <c r="C4" s="43">
        <v>1090</v>
      </c>
      <c r="D4" s="40"/>
    </row>
    <row r="5" ht="20.05" customHeight="1">
      <c r="B5" s="31"/>
      <c r="C5" s="44">
        <v>930</v>
      </c>
      <c r="D5" s="13"/>
    </row>
    <row r="6" ht="20.05" customHeight="1">
      <c r="B6" s="31"/>
      <c r="C6" s="44">
        <v>995</v>
      </c>
      <c r="D6" s="13"/>
    </row>
    <row r="7" ht="20.05" customHeight="1">
      <c r="B7" s="31"/>
      <c r="C7" s="44">
        <v>1120</v>
      </c>
      <c r="D7" s="13"/>
    </row>
    <row r="8" ht="20.05" customHeight="1">
      <c r="B8" s="31"/>
      <c r="C8" s="44">
        <v>1000</v>
      </c>
      <c r="D8" s="13"/>
    </row>
    <row r="9" ht="20.05" customHeight="1">
      <c r="B9" s="31"/>
      <c r="C9" s="44">
        <v>895</v>
      </c>
      <c r="D9" s="13"/>
    </row>
    <row r="10" ht="20.05" customHeight="1">
      <c r="B10" s="31"/>
      <c r="C10" s="44">
        <v>960</v>
      </c>
      <c r="D10" s="13"/>
    </row>
    <row r="11" ht="20.05" customHeight="1">
      <c r="B11" s="31"/>
      <c r="C11" s="44">
        <v>780</v>
      </c>
      <c r="D11" s="13"/>
    </row>
    <row r="12" ht="20.05" customHeight="1">
      <c r="B12" s="31"/>
      <c r="C12" s="44">
        <v>790</v>
      </c>
      <c r="D12" s="13"/>
    </row>
    <row r="13" ht="20.05" customHeight="1">
      <c r="B13" s="31"/>
      <c r="C13" s="44">
        <v>825</v>
      </c>
      <c r="D13" s="13"/>
    </row>
    <row r="14" ht="20.05" customHeight="1">
      <c r="B14" s="31"/>
      <c r="C14" s="44">
        <v>950</v>
      </c>
      <c r="D14" s="13"/>
    </row>
    <row r="15" ht="20.05" customHeight="1">
      <c r="B15" s="31"/>
      <c r="C15" s="44">
        <v>955</v>
      </c>
      <c r="D15" s="13"/>
    </row>
    <row r="16" ht="20.05" customHeight="1">
      <c r="B16" s="35">
        <v>2016</v>
      </c>
      <c r="C16" s="44">
        <v>935</v>
      </c>
      <c r="D16" s="13"/>
    </row>
    <row r="17" ht="20.05" customHeight="1">
      <c r="B17" s="31"/>
      <c r="C17" s="44">
        <v>885</v>
      </c>
      <c r="D17" s="13"/>
    </row>
    <row r="18" ht="20.05" customHeight="1">
      <c r="B18" s="31"/>
      <c r="C18" s="44">
        <v>960</v>
      </c>
      <c r="D18" s="13"/>
    </row>
    <row r="19" ht="20.05" customHeight="1">
      <c r="B19" s="31"/>
      <c r="C19" s="44">
        <v>1000</v>
      </c>
      <c r="D19" s="13"/>
    </row>
    <row r="20" ht="20.05" customHeight="1">
      <c r="B20" s="31"/>
      <c r="C20" s="44">
        <v>900</v>
      </c>
      <c r="D20" s="13"/>
    </row>
    <row r="21" ht="20.05" customHeight="1">
      <c r="B21" s="31"/>
      <c r="C21" s="44">
        <v>920</v>
      </c>
      <c r="D21" s="13"/>
    </row>
    <row r="22" ht="20.05" customHeight="1">
      <c r="B22" s="31"/>
      <c r="C22" s="44">
        <v>1050</v>
      </c>
      <c r="D22" s="13"/>
    </row>
    <row r="23" ht="20.05" customHeight="1">
      <c r="B23" s="31"/>
      <c r="C23" s="44">
        <v>1040</v>
      </c>
      <c r="D23" s="13"/>
    </row>
    <row r="24" ht="20.05" customHeight="1">
      <c r="B24" s="31"/>
      <c r="C24" s="44">
        <v>985</v>
      </c>
      <c r="D24" s="13"/>
    </row>
    <row r="25" ht="20.05" customHeight="1">
      <c r="B25" s="31"/>
      <c r="C25" s="44">
        <v>1060</v>
      </c>
      <c r="D25" s="13"/>
    </row>
    <row r="26" ht="20.05" customHeight="1">
      <c r="B26" s="31"/>
      <c r="C26" s="44">
        <v>975</v>
      </c>
      <c r="D26" s="13"/>
    </row>
    <row r="27" ht="20.05" customHeight="1">
      <c r="B27" s="31"/>
      <c r="C27" s="44">
        <v>955</v>
      </c>
      <c r="D27" s="13"/>
    </row>
    <row r="28" ht="20.05" customHeight="1">
      <c r="B28" s="35">
        <v>2017</v>
      </c>
      <c r="C28" s="44">
        <v>1045</v>
      </c>
      <c r="D28" s="13"/>
    </row>
    <row r="29" ht="20.05" customHeight="1">
      <c r="B29" s="31"/>
      <c r="C29" s="44">
        <v>1260</v>
      </c>
      <c r="D29" s="13"/>
    </row>
    <row r="30" ht="20.05" customHeight="1">
      <c r="B30" s="31"/>
      <c r="C30" s="44">
        <v>1310</v>
      </c>
      <c r="D30" s="13"/>
    </row>
    <row r="31" ht="20.05" customHeight="1">
      <c r="B31" s="31"/>
      <c r="C31" s="44">
        <v>2080</v>
      </c>
      <c r="D31" s="13"/>
    </row>
    <row r="32" ht="20.05" customHeight="1">
      <c r="B32" s="31"/>
      <c r="C32" s="44">
        <v>2530</v>
      </c>
      <c r="D32" s="13"/>
    </row>
    <row r="33" ht="20.05" customHeight="1">
      <c r="B33" s="31"/>
      <c r="C33" s="44">
        <v>2550</v>
      </c>
      <c r="D33" s="13"/>
    </row>
    <row r="34" ht="20.05" customHeight="1">
      <c r="B34" s="31"/>
      <c r="C34" s="44">
        <v>2770</v>
      </c>
      <c r="D34" s="13"/>
    </row>
    <row r="35" ht="20.05" customHeight="1">
      <c r="B35" s="31"/>
      <c r="C35" s="44">
        <v>3080</v>
      </c>
      <c r="D35" s="13"/>
    </row>
    <row r="36" ht="20.05" customHeight="1">
      <c r="B36" s="31"/>
      <c r="C36" s="44">
        <v>4190</v>
      </c>
      <c r="D36" s="13"/>
    </row>
    <row r="37" ht="20.05" customHeight="1">
      <c r="B37" s="31"/>
      <c r="C37" s="44">
        <v>5275</v>
      </c>
      <c r="D37" s="13"/>
    </row>
    <row r="38" ht="20.05" customHeight="1">
      <c r="B38" s="31"/>
      <c r="C38" s="44">
        <v>5225</v>
      </c>
      <c r="D38" s="13"/>
    </row>
    <row r="39" ht="20.05" customHeight="1">
      <c r="B39" s="31"/>
      <c r="C39" s="44">
        <v>5400</v>
      </c>
      <c r="D39" s="13"/>
    </row>
    <row r="40" ht="20.05" customHeight="1">
      <c r="B40" s="35">
        <v>2018</v>
      </c>
      <c r="C40" s="44">
        <v>9375</v>
      </c>
      <c r="D40" s="13"/>
    </row>
    <row r="41" ht="20.05" customHeight="1">
      <c r="B41" s="31"/>
      <c r="C41" s="44">
        <v>10750</v>
      </c>
      <c r="D41" s="13"/>
    </row>
    <row r="42" ht="20.05" customHeight="1">
      <c r="B42" s="31"/>
      <c r="C42" s="44">
        <v>11000</v>
      </c>
      <c r="D42" s="13"/>
    </row>
    <row r="43" ht="20.05" customHeight="1">
      <c r="B43" s="31"/>
      <c r="C43" s="44">
        <v>13200</v>
      </c>
      <c r="D43" s="13"/>
    </row>
    <row r="44" ht="20.05" customHeight="1">
      <c r="B44" s="31"/>
      <c r="C44" s="44">
        <v>18700</v>
      </c>
      <c r="D44" s="13"/>
    </row>
    <row r="45" ht="20.05" customHeight="1">
      <c r="B45" s="31"/>
      <c r="C45" s="44">
        <v>18600</v>
      </c>
      <c r="D45" s="13"/>
    </row>
    <row r="46" ht="20.05" customHeight="1">
      <c r="B46" s="31"/>
      <c r="C46" s="44">
        <v>19200</v>
      </c>
      <c r="D46" s="13"/>
    </row>
    <row r="47" ht="20.05" customHeight="1">
      <c r="B47" s="31"/>
      <c r="C47" s="44">
        <v>19100</v>
      </c>
      <c r="D47" s="13"/>
    </row>
    <row r="48" ht="20.05" customHeight="1">
      <c r="B48" s="31"/>
      <c r="C48" s="44">
        <v>17350</v>
      </c>
      <c r="D48" s="13"/>
    </row>
    <row r="49" ht="20.05" customHeight="1">
      <c r="B49" s="31"/>
      <c r="C49" s="44">
        <v>12725</v>
      </c>
      <c r="D49" s="13"/>
    </row>
    <row r="50" ht="20.05" customHeight="1">
      <c r="B50" s="31"/>
      <c r="C50" s="44">
        <v>10500</v>
      </c>
      <c r="D50" s="13"/>
    </row>
    <row r="51" ht="20.05" customHeight="1">
      <c r="B51" s="31"/>
      <c r="C51" s="44">
        <v>11550</v>
      </c>
      <c r="D51" s="13"/>
    </row>
    <row r="52" ht="20.05" customHeight="1">
      <c r="B52" s="35">
        <v>2019</v>
      </c>
      <c r="C52" s="44">
        <v>13000</v>
      </c>
      <c r="D52" s="13"/>
    </row>
    <row r="53" ht="20.05" customHeight="1">
      <c r="B53" s="31"/>
      <c r="C53" s="44">
        <v>11025</v>
      </c>
      <c r="D53" s="13"/>
    </row>
    <row r="54" ht="20.05" customHeight="1">
      <c r="B54" s="31"/>
      <c r="C54" s="44">
        <v>8600</v>
      </c>
      <c r="D54" s="13"/>
    </row>
    <row r="55" ht="20.05" customHeight="1">
      <c r="B55" s="31"/>
      <c r="C55" s="44">
        <v>7400</v>
      </c>
      <c r="D55" s="13"/>
    </row>
    <row r="56" ht="20.05" customHeight="1">
      <c r="B56" s="31"/>
      <c r="C56" s="44">
        <v>7750</v>
      </c>
      <c r="D56" s="13"/>
    </row>
    <row r="57" ht="20.05" customHeight="1">
      <c r="B57" s="31"/>
      <c r="C57" s="44">
        <v>9375</v>
      </c>
      <c r="D57" s="13"/>
    </row>
    <row r="58" ht="20.05" customHeight="1">
      <c r="B58" s="31"/>
      <c r="C58" s="44">
        <v>7475</v>
      </c>
      <c r="D58" s="13"/>
    </row>
    <row r="59" ht="20.05" customHeight="1">
      <c r="B59" s="31"/>
      <c r="C59" s="44">
        <v>6850</v>
      </c>
      <c r="D59" s="13"/>
    </row>
    <row r="60" ht="20.05" customHeight="1">
      <c r="B60" s="31"/>
      <c r="C60" s="44">
        <v>6475</v>
      </c>
      <c r="D60" s="13"/>
    </row>
    <row r="61" ht="20.05" customHeight="1">
      <c r="B61" s="31"/>
      <c r="C61" s="44">
        <v>7275</v>
      </c>
      <c r="D61" s="13"/>
    </row>
    <row r="62" ht="20.05" customHeight="1">
      <c r="B62" s="31"/>
      <c r="C62" s="44">
        <v>6800</v>
      </c>
      <c r="D62" s="13"/>
    </row>
    <row r="63" ht="20.05" customHeight="1">
      <c r="B63" s="31"/>
      <c r="C63" s="44">
        <v>7700</v>
      </c>
      <c r="D63" s="13"/>
    </row>
    <row r="64" ht="20.05" customHeight="1">
      <c r="B64" s="35">
        <v>2020</v>
      </c>
      <c r="C64" s="44">
        <v>6750</v>
      </c>
      <c r="D64" s="13"/>
    </row>
    <row r="65" ht="20.05" customHeight="1">
      <c r="B65" s="31"/>
      <c r="C65" s="44">
        <v>5625</v>
      </c>
      <c r="D65" s="13"/>
    </row>
    <row r="66" ht="20.05" customHeight="1">
      <c r="B66" s="31"/>
      <c r="C66" s="44">
        <v>4010</v>
      </c>
      <c r="D66" s="13"/>
    </row>
    <row r="67" ht="20.05" customHeight="1">
      <c r="B67" s="31"/>
      <c r="C67" s="44">
        <v>5550</v>
      </c>
      <c r="D67" s="13"/>
    </row>
    <row r="68" ht="20.05" customHeight="1">
      <c r="B68" s="31"/>
      <c r="C68" s="44">
        <v>5250</v>
      </c>
      <c r="D68" s="13"/>
    </row>
    <row r="69" ht="20.05" customHeight="1">
      <c r="B69" s="31"/>
      <c r="C69" s="44">
        <v>5975</v>
      </c>
      <c r="D69" s="13"/>
    </row>
    <row r="70" ht="20.05" customHeight="1">
      <c r="B70" s="31"/>
      <c r="C70" s="16">
        <v>7757.608398</v>
      </c>
      <c r="D70" s="13"/>
    </row>
    <row r="71" ht="20.05" customHeight="1">
      <c r="B71" s="31"/>
      <c r="C71" s="16">
        <v>9249.456055000001</v>
      </c>
      <c r="D71" s="13"/>
    </row>
    <row r="72" ht="20.05" customHeight="1">
      <c r="B72" s="31"/>
      <c r="C72" s="16">
        <v>8975</v>
      </c>
      <c r="D72" s="13"/>
    </row>
    <row r="73" ht="20.05" customHeight="1">
      <c r="B73" s="31"/>
      <c r="C73" s="16">
        <v>9125</v>
      </c>
      <c r="D73" s="13"/>
    </row>
    <row r="74" ht="20.05" customHeight="1">
      <c r="B74" s="31"/>
      <c r="C74" s="16">
        <v>8675</v>
      </c>
      <c r="D74" s="13"/>
    </row>
    <row r="75" ht="20.05" customHeight="1">
      <c r="B75" s="31"/>
      <c r="C75" s="16">
        <v>10600</v>
      </c>
      <c r="D75" s="13"/>
    </row>
    <row r="76" ht="20.05" customHeight="1">
      <c r="B76" s="35">
        <v>2021</v>
      </c>
      <c r="C76" s="16">
        <v>12900</v>
      </c>
      <c r="D76" s="13"/>
    </row>
    <row r="77" ht="20.05" customHeight="1">
      <c r="B77" s="31"/>
      <c r="C77" s="16">
        <v>13175</v>
      </c>
      <c r="D77" s="13"/>
    </row>
    <row r="78" ht="20.05" customHeight="1">
      <c r="B78" s="31"/>
      <c r="C78" s="16">
        <v>10450</v>
      </c>
      <c r="D78" s="13"/>
    </row>
    <row r="79" ht="20.05" customHeight="1">
      <c r="B79" s="31"/>
      <c r="C79" s="16">
        <v>9100</v>
      </c>
      <c r="D79" s="13"/>
    </row>
    <row r="80" ht="20.05" customHeight="1">
      <c r="B80" s="31"/>
      <c r="C80" s="16">
        <v>8500</v>
      </c>
      <c r="D80" s="13"/>
    </row>
    <row r="81" ht="20.05" customHeight="1">
      <c r="B81" s="31"/>
      <c r="C81" s="16">
        <v>7450</v>
      </c>
      <c r="D81" s="19"/>
    </row>
    <row r="82" ht="20.05" customHeight="1">
      <c r="B82" s="31"/>
      <c r="C82" s="16">
        <v>6800</v>
      </c>
      <c r="D82" s="13"/>
    </row>
    <row r="83" ht="20.05" customHeight="1">
      <c r="B83" s="31"/>
      <c r="C83" s="16">
        <v>7450</v>
      </c>
      <c r="D83" s="19"/>
    </row>
    <row r="84" ht="20.05" customHeight="1">
      <c r="B84" s="31"/>
      <c r="C84" s="16">
        <v>8575</v>
      </c>
      <c r="D84" s="19"/>
    </row>
    <row r="85" ht="20.05" customHeight="1">
      <c r="B85" s="31"/>
      <c r="C85" s="16">
        <v>8475</v>
      </c>
      <c r="D85" s="19"/>
    </row>
    <row r="86" ht="20.05" customHeight="1">
      <c r="B86" s="31"/>
      <c r="C86" s="16">
        <v>8300</v>
      </c>
      <c r="D86" s="13">
        <f>C86</f>
        <v>8300</v>
      </c>
    </row>
    <row r="87" ht="20.05" customHeight="1">
      <c r="B87" s="31"/>
      <c r="C87" s="16"/>
      <c r="D87" s="13">
        <f>'Model'!E43</f>
        <v>17399.5708330498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