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<sst xmlns="http://schemas.openxmlformats.org/spreadsheetml/2006/main" uniqueCount="86">
  <si>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</si>
  <si>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</si>
  <si>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</si>
  <si>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</si>
  <si>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</si>
  <si>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</si>
  <si>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</si>
  <si>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</si>
  <si>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</si>
  <si>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</si>
  <si>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</si>
  <si>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</si>
  <si>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</si>
  <si>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</si>
  <si>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</si>
  <si>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</si>
  <si>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</si>
  <si>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</si>
  <si>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</si>
  <si>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</si>
  <si>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</si>
  <si>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</si>
  <si>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</si>
  <si>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</si>
  <si>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</si>
  <si>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</si>
  <si>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</si>
  <si>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</si>
  <si>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</si>
  <si>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</si>
  <si>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</si>
  <si>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</si>
  <si>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</si>
  <si>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</si>
  <si>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>Payback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</si>
  <si>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</si>
  <si>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</si>
  <si>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</si>
  <si>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</si>
  <si>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</si>
  <si>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</si>
  <si>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</si>
  <si>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</si>
  <si>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growth </t>
  </si>
  <si>
    <t xml:space="preserve">Receipts </t>
  </si>
  <si>
    <t>Equity</t>
  </si>
  <si>
    <t xml:space="preserve">Free cashflow </t>
  </si>
  <si>
    <t>Cash</t>
  </si>
  <si>
    <t>Assets</t>
  </si>
  <si>
    <t>Share price</t>
  </si>
  <si>
    <t>INDY</t>
  </si>
  <si>
    <t>Capital</t>
  </si>
  <si>
    <t>Rpbn</t>
  </si>
  <si>
    <t xml:space="preserve">Total </t>
  </si>
  <si>
    <t>Table 1-1</t>
  </si>
  <si>
    <t>Market value</t>
  </si>
  <si>
    <t xml:space="preserve">capital history </t>
  </si>
  <si>
    <t>of market value</t>
  </si>
  <si>
    <t>paid every year since 2018</t>
  </si>
  <si>
    <t xml:space="preserve">Start date </t>
  </si>
  <si>
    <t xml:space="preserve">Number of quarters </t>
  </si>
  <si>
    <t>Market value $m</t>
  </si>
  <si>
    <t xml:space="preserve">million dollars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</si>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</sst>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[$IDR]0"/>
    <numFmt numFmtId="62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efffe"/>
      <rgbColor rgb="fff8ba00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073"/>
          <c:y val="0.0446026"/>
          <c:w val="0.8710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239.000000</c:v>
                </c:pt>
                <c:pt idx="4">
                  <c:v>145.000000</c:v>
                </c:pt>
                <c:pt idx="5">
                  <c:v>80.000000</c:v>
                </c:pt>
                <c:pt idx="6">
                  <c:v>67.000000</c:v>
                </c:pt>
                <c:pt idx="7">
                  <c:v>60.000000</c:v>
                </c:pt>
                <c:pt idx="8">
                  <c:v>-120.000000</c:v>
                </c:pt>
                <c:pt idx="9">
                  <c:v>427.000000</c:v>
                </c:pt>
                <c:pt idx="10">
                  <c:v>388.000000</c:v>
                </c:pt>
                <c:pt idx="11">
                  <c:v>383.000000</c:v>
                </c:pt>
                <c:pt idx="12">
                  <c:v>501.100000</c:v>
                </c:pt>
                <c:pt idx="13">
                  <c:v>397.600000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-16.000000</c:v>
                </c:pt>
                <c:pt idx="4">
                  <c:v>-57.000000</c:v>
                </c:pt>
                <c:pt idx="5">
                  <c:v>-83.000000</c:v>
                </c:pt>
                <c:pt idx="6">
                  <c:v>-89.000000</c:v>
                </c:pt>
                <c:pt idx="7">
                  <c:v>-98.000000</c:v>
                </c:pt>
                <c:pt idx="8">
                  <c:v>-98.000000</c:v>
                </c:pt>
                <c:pt idx="9">
                  <c:v>-98.000000</c:v>
                </c:pt>
                <c:pt idx="10">
                  <c:v>-179.000000</c:v>
                </c:pt>
                <c:pt idx="11">
                  <c:v>-235.000000</c:v>
                </c:pt>
                <c:pt idx="12">
                  <c:v>-281.000000</c:v>
                </c:pt>
                <c:pt idx="13">
                  <c:v>-305.900000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'!$B$3:$B$16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'!$H$3:$H$16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223.000000</c:v>
                </c:pt>
                <c:pt idx="4">
                  <c:v>88.000000</c:v>
                </c:pt>
                <c:pt idx="5">
                  <c:v>-3.000000</c:v>
                </c:pt>
                <c:pt idx="6">
                  <c:v>-22.000000</c:v>
                </c:pt>
                <c:pt idx="7">
                  <c:v>-38.000000</c:v>
                </c:pt>
                <c:pt idx="8">
                  <c:v>-218.000000</c:v>
                </c:pt>
                <c:pt idx="9">
                  <c:v>329.000000</c:v>
                </c:pt>
                <c:pt idx="10">
                  <c:v>209.000000</c:v>
                </c:pt>
                <c:pt idx="11">
                  <c:v>148.000000</c:v>
                </c:pt>
                <c:pt idx="12">
                  <c:v>220.100000</c:v>
                </c:pt>
                <c:pt idx="13">
                  <c:v>91.700000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33.333"/>
        <c:minorUnit val="166.667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207922"/>
          <c:y val="0.0599334"/>
          <c:w val="0.38907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382390</xdr:colOff>
      <xdr:row>0</xdr:row>
      <xdr:rowOff>201170</xdr:rowOff>
    </xdr:from>
    <xdr:to>
      <xdr:col>12</xdr:col>
      <xdr:colOff>657217</xdr:colOff>
      <xdr:row>48</xdr:row>
      <xdr:rowOff>180020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70190" y="201170"/>
          <a:ext cx="8987028" cy="123029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488563</xdr:colOff>
      <xdr:row>20</xdr:row>
      <xdr:rowOff>146877</xdr:rowOff>
    </xdr:from>
    <xdr:to>
      <xdr:col>5</xdr:col>
      <xdr:colOff>155760</xdr:colOff>
      <xdr:row>28</xdr:row>
      <xdr:rowOff>380112</xdr:rowOff>
    </xdr:to>
    <xdr:graphicFrame>
      <xdr:nvGraphicFramePr>
        <xdr:cNvPr id="4" name="2D Line Chart"/>
        <xdr:cNvGraphicFramePr/>
      </xdr:nvGraphicFramePr>
      <xdr:xfrm>
        <a:off x="793363" y="5440872"/>
        <a:ext cx="3426398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322651</xdr:colOff>
      <xdr:row>18</xdr:row>
      <xdr:rowOff>232837</xdr:rowOff>
    </xdr:from>
    <xdr:to>
      <xdr:col>5</xdr:col>
      <xdr:colOff>702609</xdr:colOff>
      <xdr:row>20</xdr:row>
      <xdr:rowOff>220344</xdr:rowOff>
    </xdr:to>
    <xdr:sp>
      <xdr:nvSpPr>
        <xdr:cNvPr id="5" name="INDY 92 million dollars raised"/>
        <xdr:cNvSpPr txBox="1"/>
      </xdr:nvSpPr>
      <xdr:spPr>
        <a:xfrm>
          <a:off x="627451" y="5012482"/>
          <a:ext cx="4139159" cy="50185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INDY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92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million dollars raised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" style="1" customWidth="1"/>
    <col min="2" max="5" width="9.25781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AVERAGE('Sales'!G25:G28)</f>
        <v>0.101041053672033</v>
      </c>
      <c r="C3" s="8"/>
      <c r="D3" s="8"/>
      <c r="E3" s="9">
        <f>AVERAGE(B4:E4)</f>
        <v>0.04</v>
      </c>
    </row>
    <row r="4" ht="20.05" customHeight="1">
      <c r="A4" t="s" s="10">
        <v>4</v>
      </c>
      <c r="B4" s="11">
        <v>0.07000000000000001</v>
      </c>
      <c r="C4" s="12">
        <v>0.07000000000000001</v>
      </c>
      <c r="D4" s="12">
        <v>0.05</v>
      </c>
      <c r="E4" s="12">
        <v>-0.03</v>
      </c>
    </row>
    <row r="5" ht="20.05" customHeight="1">
      <c r="A5" t="s" s="10">
        <v>5</v>
      </c>
      <c r="B5" s="13">
        <f>'Sales'!C28*(1+B4)</f>
        <v>889.17</v>
      </c>
      <c r="C5" s="14">
        <f>B5*(1+C4)</f>
        <v>951.4118999999999</v>
      </c>
      <c r="D5" s="14">
        <f>C5*(1+D4)</f>
        <v>998.982495</v>
      </c>
      <c r="E5" s="14">
        <f>D5*(1+E4)</f>
        <v>969.01302015</v>
      </c>
    </row>
    <row r="6" ht="20.05" customHeight="1">
      <c r="A6" t="s" s="10">
        <v>6</v>
      </c>
      <c r="B6" s="15">
        <f>AVERAGE('Sales'!H28)</f>
        <v>-0.839951865222623</v>
      </c>
      <c r="C6" s="16">
        <f>B6</f>
        <v>-0.839951865222623</v>
      </c>
      <c r="D6" s="16">
        <f>C6</f>
        <v>-0.839951865222623</v>
      </c>
      <c r="E6" s="16">
        <f>D6</f>
        <v>-0.839951865222623</v>
      </c>
    </row>
    <row r="7" ht="20.05" customHeight="1">
      <c r="A7" t="s" s="10">
        <v>7</v>
      </c>
      <c r="B7" s="17">
        <f>B5*B6</f>
        <v>-746.86</v>
      </c>
      <c r="C7" s="18">
        <f>C5*C6</f>
        <v>-799.1402</v>
      </c>
      <c r="D7" s="18">
        <f>D5*D6</f>
        <v>-839.09721</v>
      </c>
      <c r="E7" s="18">
        <f>E5*E6</f>
        <v>-813.9242937</v>
      </c>
    </row>
    <row r="8" ht="20.05" customHeight="1">
      <c r="A8" t="s" s="10">
        <v>8</v>
      </c>
      <c r="B8" s="17">
        <f>B5+B7</f>
        <v>142.31</v>
      </c>
      <c r="C8" s="18">
        <f>C5+C7</f>
        <v>152.2717</v>
      </c>
      <c r="D8" s="18">
        <f>D5+D7</f>
        <v>159.885285</v>
      </c>
      <c r="E8" s="18">
        <f>E5+E7</f>
        <v>155.08872645</v>
      </c>
    </row>
    <row r="9" ht="20.05" customHeight="1">
      <c r="A9" t="s" s="10">
        <v>9</v>
      </c>
      <c r="B9" s="17">
        <f>AVERAGE('Cashflow '!E25:E28)</f>
        <v>-18.475</v>
      </c>
      <c r="C9" s="18">
        <f>B9</f>
        <v>-18.475</v>
      </c>
      <c r="D9" s="18">
        <f>C9</f>
        <v>-18.475</v>
      </c>
      <c r="E9" s="18">
        <f>D9</f>
        <v>-18.475</v>
      </c>
    </row>
    <row r="10" ht="20.05" customHeight="1">
      <c r="A10" t="s" s="10">
        <v>10</v>
      </c>
      <c r="B10" s="17">
        <f>B11+B14+B12</f>
        <v>-123.835</v>
      </c>
      <c r="C10" s="18">
        <f>C11+C14+C12</f>
        <v>-133.7967</v>
      </c>
      <c r="D10" s="18">
        <f>D11+D14+D12</f>
        <v>-141.410285</v>
      </c>
      <c r="E10" s="18">
        <f>E11+E14+E12</f>
        <v>-136.61372645</v>
      </c>
    </row>
    <row r="11" ht="20.05" customHeight="1">
      <c r="A11" t="s" s="10">
        <v>11</v>
      </c>
      <c r="B11" s="17">
        <f>-'Balance sheet'!G28/20</f>
        <v>-149.885</v>
      </c>
      <c r="C11" s="18">
        <f>-B26/20</f>
        <v>-142.39075</v>
      </c>
      <c r="D11" s="18">
        <f>-C26/20</f>
        <v>-135.2712125</v>
      </c>
      <c r="E11" s="18">
        <f>-D26/20</f>
        <v>-128.507651875</v>
      </c>
    </row>
    <row r="12" ht="20.05" customHeight="1">
      <c r="A12" t="s" s="10">
        <v>12</v>
      </c>
      <c r="B12" s="17">
        <f>-MIN(0,B15)</f>
        <v>54.343</v>
      </c>
      <c r="C12" s="18">
        <f>-MIN(B27,C15)</f>
        <v>39.87556</v>
      </c>
      <c r="D12" s="18">
        <f>-MIN(C27,D15)</f>
        <v>27.426513</v>
      </c>
      <c r="E12" s="18">
        <f>-MIN(D27,E15)</f>
        <v>24.02054336</v>
      </c>
    </row>
    <row r="13" ht="20.05" customHeight="1">
      <c r="A13" t="s" s="10">
        <v>13</v>
      </c>
      <c r="B13" s="19">
        <v>0.3</v>
      </c>
      <c r="C13" s="18"/>
      <c r="D13" s="18"/>
      <c r="E13" s="18"/>
    </row>
    <row r="14" ht="20.05" customHeight="1">
      <c r="A14" t="s" s="10">
        <v>14</v>
      </c>
      <c r="B14" s="17">
        <f>IF(B21&gt;0,-B21*$B$13,0)</f>
        <v>-28.293</v>
      </c>
      <c r="C14" s="18">
        <f>IF(C21&gt;0,-C21*$B$13,0)</f>
        <v>-31.28151</v>
      </c>
      <c r="D14" s="18">
        <f>IF(D21&gt;0,-D21*$B$13,0)</f>
        <v>-33.5655855</v>
      </c>
      <c r="E14" s="18">
        <f>IF(E21&gt;0,-E21*$B$13,0)</f>
        <v>-32.126617935</v>
      </c>
    </row>
    <row r="15" ht="20.05" customHeight="1">
      <c r="A15" t="s" s="10">
        <v>15</v>
      </c>
      <c r="B15" s="17">
        <f>B8+B9+B11+B14</f>
        <v>-54.343</v>
      </c>
      <c r="C15" s="18">
        <f>C8+C9+C11+C14</f>
        <v>-39.87556</v>
      </c>
      <c r="D15" s="18">
        <f>D8+D9+D11+D14</f>
        <v>-27.426513</v>
      </c>
      <c r="E15" s="18">
        <f>E8+E9+E11+E14</f>
        <v>-24.02054336</v>
      </c>
    </row>
    <row r="16" ht="20.05" customHeight="1">
      <c r="A16" t="s" s="10">
        <v>16</v>
      </c>
      <c r="B16" s="17">
        <f>'Balance sheet'!C28</f>
        <v>1094.7</v>
      </c>
      <c r="C16" s="18">
        <f>B18</f>
        <v>1094.7</v>
      </c>
      <c r="D16" s="18">
        <f>C18</f>
        <v>1094.7</v>
      </c>
      <c r="E16" s="18">
        <f>D18</f>
        <v>1094.7</v>
      </c>
    </row>
    <row r="17" ht="20.05" customHeight="1">
      <c r="A17" t="s" s="10">
        <v>17</v>
      </c>
      <c r="B17" s="17">
        <f>B8+B9+B10</f>
        <v>0</v>
      </c>
      <c r="C17" s="18">
        <f>C8+C9+C10</f>
        <v>0</v>
      </c>
      <c r="D17" s="18">
        <f>D8+D9+D10</f>
        <v>0</v>
      </c>
      <c r="E17" s="18">
        <f>E8+E9+E10</f>
        <v>0</v>
      </c>
    </row>
    <row r="18" ht="20.05" customHeight="1">
      <c r="A18" t="s" s="10">
        <v>18</v>
      </c>
      <c r="B18" s="17">
        <f>B16+B17</f>
        <v>1094.7</v>
      </c>
      <c r="C18" s="18">
        <f>C16+C17</f>
        <v>1094.7</v>
      </c>
      <c r="D18" s="18">
        <f>D16+D17</f>
        <v>1094.7</v>
      </c>
      <c r="E18" s="18">
        <f>E16+E17</f>
        <v>1094.7</v>
      </c>
    </row>
    <row r="19" ht="20.05" customHeight="1">
      <c r="A19" t="s" s="20">
        <v>19</v>
      </c>
      <c r="B19" s="17"/>
      <c r="C19" s="18"/>
      <c r="D19" s="18"/>
      <c r="E19" s="21"/>
    </row>
    <row r="20" ht="20.05" customHeight="1">
      <c r="A20" t="s" s="10">
        <v>20</v>
      </c>
      <c r="B20" s="17">
        <f>-AVERAGE('Sales'!E28)</f>
        <v>-48</v>
      </c>
      <c r="C20" s="18">
        <f>B20</f>
        <v>-48</v>
      </c>
      <c r="D20" s="18">
        <f>C20</f>
        <v>-48</v>
      </c>
      <c r="E20" s="18">
        <f>D20</f>
        <v>-48</v>
      </c>
    </row>
    <row r="21" ht="20.05" customHeight="1">
      <c r="A21" t="s" s="10">
        <v>19</v>
      </c>
      <c r="B21" s="17">
        <f>B5+B7+B20</f>
        <v>94.31</v>
      </c>
      <c r="C21" s="18">
        <f>C5+C7+C20</f>
        <v>104.2717</v>
      </c>
      <c r="D21" s="18">
        <f>D5+D7+D20</f>
        <v>111.885285</v>
      </c>
      <c r="E21" s="18">
        <f>E5+E7+E20</f>
        <v>107.08872645</v>
      </c>
    </row>
    <row r="22" ht="20.05" customHeight="1">
      <c r="A22" t="s" s="20">
        <v>21</v>
      </c>
      <c r="B22" s="17"/>
      <c r="C22" s="18"/>
      <c r="D22" s="18"/>
      <c r="E22" s="18"/>
    </row>
    <row r="23" ht="20.05" customHeight="1">
      <c r="A23" t="s" s="10">
        <v>22</v>
      </c>
      <c r="B23" s="17">
        <f>'Balance sheet'!E28+'Balance sheet'!F28-B9</f>
        <v>4940.175</v>
      </c>
      <c r="C23" s="18">
        <f>B23-C9</f>
        <v>4958.65</v>
      </c>
      <c r="D23" s="18">
        <f>C23-D9</f>
        <v>4977.125</v>
      </c>
      <c r="E23" s="18">
        <f>D23-E9</f>
        <v>4995.6</v>
      </c>
    </row>
    <row r="24" ht="20.05" customHeight="1">
      <c r="A24" t="s" s="10">
        <v>23</v>
      </c>
      <c r="B24" s="17">
        <f>'Balance sheet'!F28-B20</f>
        <v>2064.5</v>
      </c>
      <c r="C24" s="18">
        <f>B24-C20</f>
        <v>2112.5</v>
      </c>
      <c r="D24" s="18">
        <f>C24-D20</f>
        <v>2160.5</v>
      </c>
      <c r="E24" s="18">
        <f>D24-E20</f>
        <v>2208.5</v>
      </c>
    </row>
    <row r="25" ht="20.05" customHeight="1">
      <c r="A25" t="s" s="10">
        <v>24</v>
      </c>
      <c r="B25" s="17">
        <f>B23-B24</f>
        <v>2875.675</v>
      </c>
      <c r="C25" s="18">
        <f>C23-C24</f>
        <v>2846.15</v>
      </c>
      <c r="D25" s="18">
        <f>D23-D24</f>
        <v>2816.625</v>
      </c>
      <c r="E25" s="18">
        <f>E23-E24</f>
        <v>2787.1</v>
      </c>
    </row>
    <row r="26" ht="20.05" customHeight="1">
      <c r="A26" t="s" s="10">
        <v>11</v>
      </c>
      <c r="B26" s="17">
        <f>'Balance sheet'!G28+B11</f>
        <v>2847.815</v>
      </c>
      <c r="C26" s="18">
        <f>B26+C11</f>
        <v>2705.42425</v>
      </c>
      <c r="D26" s="18">
        <f>C26+D11</f>
        <v>2570.1530375</v>
      </c>
      <c r="E26" s="18">
        <f>D26+E11</f>
        <v>2441.645385625</v>
      </c>
    </row>
    <row r="27" ht="20.05" customHeight="1">
      <c r="A27" t="s" s="10">
        <v>12</v>
      </c>
      <c r="B27" s="17">
        <f>B12</f>
        <v>54.343</v>
      </c>
      <c r="C27" s="18">
        <f>B27+C12</f>
        <v>94.21856</v>
      </c>
      <c r="D27" s="18">
        <f>C27+D12</f>
        <v>121.645073</v>
      </c>
      <c r="E27" s="18">
        <f>D27+E12</f>
        <v>145.66561636</v>
      </c>
    </row>
    <row r="28" ht="20.05" customHeight="1">
      <c r="A28" t="s" s="10">
        <v>14</v>
      </c>
      <c r="B28" s="17">
        <f>'Balance sheet'!H28+B21+B14</f>
        <v>1068.217</v>
      </c>
      <c r="C28" s="18">
        <f>B28+C21+C14</f>
        <v>1141.20719</v>
      </c>
      <c r="D28" s="18">
        <f>C28+D21+D14</f>
        <v>1219.5268895</v>
      </c>
      <c r="E28" s="18">
        <f>D28+E21+E14</f>
        <v>1294.488998015</v>
      </c>
    </row>
    <row r="29" ht="20.05" customHeight="1">
      <c r="A29" t="s" s="10">
        <v>25</v>
      </c>
      <c r="B29" s="17">
        <f>B26+B27+B28-B18-B25</f>
        <v>0</v>
      </c>
      <c r="C29" s="18">
        <f>C26+C27+C28-C18-C25</f>
        <v>0</v>
      </c>
      <c r="D29" s="18">
        <f>D26+D27+D28-D18-D25</f>
        <v>0</v>
      </c>
      <c r="E29" s="18">
        <f>E26+E27+E28-E18-E25</f>
        <v>0</v>
      </c>
    </row>
    <row r="30" ht="20.05" customHeight="1">
      <c r="A30" t="s" s="10">
        <v>26</v>
      </c>
      <c r="B30" s="17">
        <f>B18-B26-B27</f>
        <v>-1807.458</v>
      </c>
      <c r="C30" s="18">
        <f>C18-C26-C27</f>
        <v>-1704.94281</v>
      </c>
      <c r="D30" s="18">
        <f>D18-D26-D27</f>
        <v>-1597.0981105</v>
      </c>
      <c r="E30" s="18">
        <f>E18-E26-E27</f>
        <v>-1492.611001985</v>
      </c>
    </row>
    <row r="31" ht="20.05" customHeight="1">
      <c r="A31" t="s" s="20">
        <v>27</v>
      </c>
      <c r="B31" s="17"/>
      <c r="C31" s="18"/>
      <c r="D31" s="18"/>
      <c r="E31" s="18"/>
    </row>
    <row r="32" ht="20.05" customHeight="1">
      <c r="A32" t="s" s="10">
        <v>28</v>
      </c>
      <c r="B32" s="17"/>
      <c r="C32" s="18"/>
      <c r="D32" s="18"/>
      <c r="E32" s="18">
        <v>14</v>
      </c>
    </row>
    <row r="33" ht="20.05" customHeight="1">
      <c r="A33" t="s" s="10">
        <v>29</v>
      </c>
      <c r="B33" s="17">
        <f>'Cashflow '!L28-(B10)</f>
        <v>-63.865</v>
      </c>
      <c r="C33" s="18">
        <f>B33-C10</f>
        <v>69.93170000000001</v>
      </c>
      <c r="D33" s="18">
        <f>C33-D10</f>
        <v>211.341985</v>
      </c>
      <c r="E33" s="18">
        <f>D33-E10</f>
        <v>347.95571145</v>
      </c>
    </row>
    <row r="34" ht="20.05" customHeight="1">
      <c r="A34" t="s" s="10">
        <v>30</v>
      </c>
      <c r="B34" s="17"/>
      <c r="C34" s="18"/>
      <c r="D34" s="18"/>
      <c r="E34" s="18">
        <v>13318886522880</v>
      </c>
    </row>
    <row r="35" ht="20.05" customHeight="1">
      <c r="A35" t="s" s="10">
        <v>30</v>
      </c>
      <c r="B35" s="17"/>
      <c r="C35" s="18"/>
      <c r="D35" s="18"/>
      <c r="E35" s="18">
        <f>(E34/1000000000)/E32</f>
        <v>951.349037348571</v>
      </c>
    </row>
    <row r="36" ht="20.05" customHeight="1">
      <c r="A36" t="s" s="10">
        <v>31</v>
      </c>
      <c r="B36" s="17"/>
      <c r="C36" s="18"/>
      <c r="D36" s="18"/>
      <c r="E36" s="22">
        <f>E35/(E18+E25)</f>
        <v>0.24507935425539</v>
      </c>
    </row>
    <row r="37" ht="20.05" customHeight="1">
      <c r="A37" t="s" s="10">
        <v>32</v>
      </c>
      <c r="B37" s="17"/>
      <c r="C37" s="18"/>
      <c r="D37" s="18"/>
      <c r="E37" s="16">
        <f>-(B14+C14+D14+E14)/E35</f>
        <v>0.131672717916571</v>
      </c>
    </row>
    <row r="38" ht="20.05" customHeight="1">
      <c r="A38" t="s" s="10">
        <v>33</v>
      </c>
      <c r="B38" s="17"/>
      <c r="C38" s="18"/>
      <c r="D38" s="18"/>
      <c r="E38" s="18">
        <f>SUM(B8:E9)</f>
        <v>535.65571145</v>
      </c>
    </row>
    <row r="39" ht="20.05" customHeight="1">
      <c r="A39" t="s" s="10">
        <v>34</v>
      </c>
      <c r="B39" s="17"/>
      <c r="C39" s="18"/>
      <c r="D39" s="18"/>
      <c r="E39" s="18">
        <f>'Balance sheet'!E28/E38</f>
        <v>5.42363301258514</v>
      </c>
    </row>
    <row r="40" ht="20.05" customHeight="1">
      <c r="A40" t="s" s="10">
        <v>27</v>
      </c>
      <c r="B40" s="17"/>
      <c r="C40" s="18"/>
      <c r="D40" s="18"/>
      <c r="E40" s="18">
        <f>E35/E38</f>
        <v>1.77604572678466</v>
      </c>
    </row>
    <row r="41" ht="20.05" customHeight="1">
      <c r="A41" t="s" s="10">
        <v>35</v>
      </c>
      <c r="B41" s="17"/>
      <c r="C41" s="18"/>
      <c r="D41" s="18"/>
      <c r="E41" s="18">
        <v>4</v>
      </c>
    </row>
    <row r="42" ht="20.05" customHeight="1">
      <c r="A42" t="s" s="10">
        <v>36</v>
      </c>
      <c r="B42" s="17"/>
      <c r="C42" s="18"/>
      <c r="D42" s="18"/>
      <c r="E42" s="18">
        <f>E38*E41</f>
        <v>2142.6228458</v>
      </c>
    </row>
    <row r="43" ht="20.05" customHeight="1">
      <c r="A43" t="s" s="10">
        <v>37</v>
      </c>
      <c r="B43" s="17"/>
      <c r="C43" s="18"/>
      <c r="D43" s="18"/>
      <c r="E43" s="18">
        <f>(E34/1000000000)/E45</f>
        <v>5.202690048</v>
      </c>
    </row>
    <row r="44" ht="20.05" customHeight="1">
      <c r="A44" t="s" s="10">
        <v>38</v>
      </c>
      <c r="B44" s="17"/>
      <c r="C44" s="18"/>
      <c r="D44" s="18"/>
      <c r="E44" s="18">
        <f>(E42/E43)*E32</f>
        <v>5765.617318050930</v>
      </c>
    </row>
    <row r="45" ht="20.05" customHeight="1">
      <c r="A45" t="s" s="10">
        <v>39</v>
      </c>
      <c r="B45" s="17"/>
      <c r="C45" s="18"/>
      <c r="D45" s="18"/>
      <c r="E45" s="18">
        <v>2560</v>
      </c>
    </row>
    <row r="46" ht="20.05" customHeight="1">
      <c r="A46" t="s" s="10">
        <v>40</v>
      </c>
      <c r="B46" s="17"/>
      <c r="C46" s="18"/>
      <c r="D46" s="18"/>
      <c r="E46" s="16">
        <f>E44/E45-1</f>
        <v>1.25219426486364</v>
      </c>
    </row>
    <row r="47" ht="20.05" customHeight="1">
      <c r="A47" t="s" s="10">
        <v>41</v>
      </c>
      <c r="B47" s="17"/>
      <c r="C47" s="18"/>
      <c r="D47" s="18"/>
      <c r="E47" s="16">
        <f>'Sales'!C28/'Sales'!C24-1</f>
        <v>0.427344555135692</v>
      </c>
    </row>
    <row r="48" ht="20.05" customHeight="1">
      <c r="A48" t="s" s="10">
        <v>42</v>
      </c>
      <c r="B48" s="17"/>
      <c r="C48" s="18"/>
      <c r="D48" s="18"/>
      <c r="E48" s="16">
        <f>'Sales'!F31/'Sales'!E31-1</f>
        <v>-0.0690419539452931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0625" style="23" customWidth="1"/>
    <col min="2" max="10" width="11.9766" style="23" customWidth="1"/>
    <col min="11" max="16384" width="16.3516" style="23" customWidth="1"/>
  </cols>
  <sheetData>
    <row r="1" ht="8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20.25" customHeight="1">
      <c r="B3" t="s" s="5">
        <v>1</v>
      </c>
      <c r="C3" t="s" s="5">
        <v>5</v>
      </c>
      <c r="D3" t="s" s="5">
        <v>35</v>
      </c>
      <c r="E3" t="s" s="5">
        <v>23</v>
      </c>
      <c r="F3" t="s" s="5">
        <v>19</v>
      </c>
      <c r="G3" t="s" s="5">
        <v>43</v>
      </c>
      <c r="H3" t="s" s="5">
        <v>6</v>
      </c>
      <c r="I3" t="s" s="5">
        <v>6</v>
      </c>
      <c r="J3" t="s" s="5">
        <v>35</v>
      </c>
    </row>
    <row r="4" ht="20.25" customHeight="1">
      <c r="B4" s="24">
        <v>2016</v>
      </c>
      <c r="C4" s="25">
        <v>195</v>
      </c>
      <c r="D4" s="26"/>
      <c r="E4" s="26">
        <f>19.7+6.4</f>
        <v>26.1</v>
      </c>
      <c r="F4" s="26">
        <v>-8</v>
      </c>
      <c r="G4" s="27"/>
      <c r="H4" s="27">
        <f>(E4+F4-C4)/C4</f>
        <v>-0.907179487179487</v>
      </c>
      <c r="I4" s="27"/>
      <c r="J4" s="27"/>
    </row>
    <row r="5" ht="20.05" customHeight="1">
      <c r="B5" s="28"/>
      <c r="C5" s="17">
        <v>162</v>
      </c>
      <c r="D5" s="18"/>
      <c r="E5" s="18">
        <f>38.9+15.1-E4</f>
        <v>27.9</v>
      </c>
      <c r="F5" s="18">
        <v>-23</v>
      </c>
      <c r="G5" s="16">
        <f>C5/C4-1</f>
        <v>-0.169230769230769</v>
      </c>
      <c r="H5" s="16">
        <f>(E5+F5-C5)/C5</f>
        <v>-0.969753086419753</v>
      </c>
      <c r="I5" s="16"/>
      <c r="J5" s="16"/>
    </row>
    <row r="6" ht="20.05" customHeight="1">
      <c r="B6" s="28"/>
      <c r="C6" s="17">
        <v>211</v>
      </c>
      <c r="D6" s="18"/>
      <c r="E6" s="18">
        <f>21.1+59.8-SUM(E4:E5)</f>
        <v>26.9</v>
      </c>
      <c r="F6" s="18">
        <v>3</v>
      </c>
      <c r="G6" s="16">
        <f>C6/C5-1</f>
        <v>0.302469135802469</v>
      </c>
      <c r="H6" s="16">
        <f>(E6+F6-C6)/C6</f>
        <v>-0.8582938388625591</v>
      </c>
      <c r="I6" s="16"/>
      <c r="J6" s="16"/>
    </row>
    <row r="7" ht="20.05" customHeight="1">
      <c r="B7" s="28"/>
      <c r="C7" s="17">
        <v>207</v>
      </c>
      <c r="D7" s="18"/>
      <c r="E7" s="18">
        <f>82.2+26+2.2-SUM(E4:E6)</f>
        <v>29.5</v>
      </c>
      <c r="F7" s="18">
        <v>-76</v>
      </c>
      <c r="G7" s="16">
        <f>C7/C6-1</f>
        <v>-0.018957345971564</v>
      </c>
      <c r="H7" s="16">
        <f>(E7+F7-C7)/C7</f>
        <v>-1.22463768115942</v>
      </c>
      <c r="I7" s="16"/>
      <c r="J7" s="16"/>
    </row>
    <row r="8" ht="20.05" customHeight="1">
      <c r="B8" s="29">
        <v>2017</v>
      </c>
      <c r="C8" s="17">
        <v>222</v>
      </c>
      <c r="D8" s="18"/>
      <c r="E8" s="18">
        <f>18.8+1.8</f>
        <v>20.6</v>
      </c>
      <c r="F8" s="18">
        <v>20</v>
      </c>
      <c r="G8" s="16">
        <f>C8/C7-1</f>
        <v>0.072463768115942</v>
      </c>
      <c r="H8" s="16">
        <f>(E8+F8-C8)/C8</f>
        <v>-0.817117117117117</v>
      </c>
      <c r="I8" s="16">
        <f>AVERAGE(H5:H8)</f>
        <v>-0.9674504308897121</v>
      </c>
      <c r="J8" s="16"/>
    </row>
    <row r="9" ht="20.05" customHeight="1">
      <c r="B9" s="28"/>
      <c r="C9" s="17">
        <v>231</v>
      </c>
      <c r="D9" s="18"/>
      <c r="E9" s="18">
        <f>37.7+3.5-E8</f>
        <v>20.6</v>
      </c>
      <c r="F9" s="18">
        <v>27</v>
      </c>
      <c r="G9" s="16">
        <f>C9/C8-1</f>
        <v>0.0405405405405405</v>
      </c>
      <c r="H9" s="16">
        <f>(E9+F9-C9)/C9</f>
        <v>-0.7939393939393939</v>
      </c>
      <c r="I9" s="16">
        <f>AVERAGE(H6:H9)</f>
        <v>-0.923497007769623</v>
      </c>
      <c r="J9" s="16"/>
    </row>
    <row r="10" ht="20.05" customHeight="1">
      <c r="B10" s="28"/>
      <c r="C10" s="17">
        <v>242</v>
      </c>
      <c r="D10" s="18"/>
      <c r="E10" s="18">
        <f>57.7+5.3-SUM(E8:E9)</f>
        <v>21.8</v>
      </c>
      <c r="F10" s="18">
        <v>29</v>
      </c>
      <c r="G10" s="16">
        <f>C10/C9-1</f>
        <v>0.0476190476190476</v>
      </c>
      <c r="H10" s="16">
        <f>(E10+F10-C10)/C10</f>
        <v>-0.790082644628099</v>
      </c>
      <c r="I10" s="16">
        <f>AVERAGE(H7:H10)</f>
        <v>-0.906444209211008</v>
      </c>
      <c r="J10" s="16"/>
    </row>
    <row r="11" ht="20.05" customHeight="1">
      <c r="B11" s="28"/>
      <c r="C11" s="17">
        <v>404</v>
      </c>
      <c r="D11" s="18"/>
      <c r="E11" s="18">
        <f>80.7+12.5+3.9+20-SUM(E8:E10)</f>
        <v>54.1</v>
      </c>
      <c r="F11" s="18">
        <v>246</v>
      </c>
      <c r="G11" s="16">
        <f>C11/C10-1</f>
        <v>0.669421487603306</v>
      </c>
      <c r="H11" s="16">
        <f>(E11+F11-C11)/C11</f>
        <v>-0.257178217821782</v>
      </c>
      <c r="I11" s="16">
        <f>AVERAGE(H8:H11)</f>
        <v>-0.664579343376598</v>
      </c>
      <c r="J11" s="16"/>
    </row>
    <row r="12" ht="20.05" customHeight="1">
      <c r="B12" s="29">
        <v>2018</v>
      </c>
      <c r="C12" s="17">
        <v>809</v>
      </c>
      <c r="D12" s="18"/>
      <c r="E12" s="18">
        <f>26.5+33.9</f>
        <v>60.4</v>
      </c>
      <c r="F12" s="18">
        <v>65</v>
      </c>
      <c r="G12" s="16">
        <f>C12/C11-1</f>
        <v>1.00247524752475</v>
      </c>
      <c r="H12" s="16">
        <f>(E12+F12-C12)/C12</f>
        <v>-0.844993819530284</v>
      </c>
      <c r="I12" s="16">
        <f>AVERAGE(H9:H12)</f>
        <v>-0.67154851897989</v>
      </c>
      <c r="J12" s="16"/>
    </row>
    <row r="13" ht="20.05" customHeight="1">
      <c r="B13" s="28"/>
      <c r="C13" s="17">
        <v>638</v>
      </c>
      <c r="D13" s="18"/>
      <c r="E13" s="18">
        <f>54.3+67.8+2.6-E12</f>
        <v>64.3</v>
      </c>
      <c r="F13" s="18">
        <v>21</v>
      </c>
      <c r="G13" s="16">
        <f>C13/C12-1</f>
        <v>-0.211372064276885</v>
      </c>
      <c r="H13" s="16">
        <f>(E13+F13-C13)/C13</f>
        <v>-0.866300940438871</v>
      </c>
      <c r="I13" s="16">
        <f>AVERAGE(H10:H13)</f>
        <v>-0.689638905604759</v>
      </c>
      <c r="J13" s="16"/>
    </row>
    <row r="14" ht="20.05" customHeight="1">
      <c r="B14" s="28"/>
      <c r="C14" s="17">
        <v>733</v>
      </c>
      <c r="D14" s="18"/>
      <c r="E14" s="18">
        <f>82.9+101.7-SUM(E12:E13)</f>
        <v>59.9</v>
      </c>
      <c r="F14" s="18">
        <v>44</v>
      </c>
      <c r="G14" s="16">
        <f>C14/C13-1</f>
        <v>0.148902821316614</v>
      </c>
      <c r="H14" s="16">
        <f>(E14+F14-C14)/C14</f>
        <v>-0.858253751705321</v>
      </c>
      <c r="I14" s="16">
        <f>AVERAGE(H11:H14)</f>
        <v>-0.706681682374065</v>
      </c>
      <c r="J14" s="16"/>
    </row>
    <row r="15" ht="20.05" customHeight="1">
      <c r="B15" s="28"/>
      <c r="C15" s="17">
        <v>783</v>
      </c>
      <c r="D15" s="18"/>
      <c r="E15" s="18">
        <f>115+8.1+135.7-SUM(E12:E14)</f>
        <v>74.2</v>
      </c>
      <c r="F15" s="18">
        <v>-32</v>
      </c>
      <c r="G15" s="16">
        <f>C15/C14-1</f>
        <v>0.06821282401091409</v>
      </c>
      <c r="H15" s="16">
        <f>(E15+F15-C15)/C15</f>
        <v>-0.94610472541507</v>
      </c>
      <c r="I15" s="16">
        <f>AVERAGE(H12:H15)</f>
        <v>-0.878913309272387</v>
      </c>
      <c r="J15" s="16"/>
    </row>
    <row r="16" ht="20.05" customHeight="1">
      <c r="B16" s="29">
        <v>2019</v>
      </c>
      <c r="C16" s="17">
        <v>701</v>
      </c>
      <c r="D16" s="18"/>
      <c r="E16" s="18">
        <f>28.6+33.9+0.6</f>
        <v>63.1</v>
      </c>
      <c r="F16" s="18">
        <v>18.5</v>
      </c>
      <c r="G16" s="16">
        <f>C16/C15-1</f>
        <v>-0.104725415070243</v>
      </c>
      <c r="H16" s="16">
        <f>(E16+F16-C16)/C16</f>
        <v>-0.883594864479315</v>
      </c>
      <c r="I16" s="16">
        <f>AVERAGE(H13:H16)</f>
        <v>-0.888563570509644</v>
      </c>
      <c r="J16" s="16"/>
    </row>
    <row r="17" ht="20.05" customHeight="1">
      <c r="B17" s="28"/>
      <c r="C17" s="17">
        <v>679</v>
      </c>
      <c r="D17" s="18"/>
      <c r="E17" s="18">
        <f>60+2.1+67.8-E16</f>
        <v>66.8</v>
      </c>
      <c r="F17" s="18">
        <v>5.5</v>
      </c>
      <c r="G17" s="16">
        <f>C17/C16-1</f>
        <v>-0.0313837375178317</v>
      </c>
      <c r="H17" s="16">
        <f>(E17+F17-C17)/C17</f>
        <v>-0.893519882179676</v>
      </c>
      <c r="I17" s="16">
        <f>AVERAGE(H14:H17)</f>
        <v>-0.895368305944846</v>
      </c>
      <c r="J17" s="16"/>
    </row>
    <row r="18" ht="20.05" customHeight="1">
      <c r="B18" s="28"/>
      <c r="C18" s="17">
        <v>700</v>
      </c>
      <c r="D18" s="18"/>
      <c r="E18" s="18">
        <f>89+101.8+2.1-SUM(E16:E17)</f>
        <v>63</v>
      </c>
      <c r="F18" s="18">
        <v>-14.5</v>
      </c>
      <c r="G18" s="16">
        <f>C18/C17-1</f>
        <v>0.0309278350515464</v>
      </c>
      <c r="H18" s="16">
        <f>(E18+F18-C18)/C18</f>
        <v>-0.930714285714286</v>
      </c>
      <c r="I18" s="16">
        <f>AVERAGE(H15:H18)</f>
        <v>-0.913483439447087</v>
      </c>
      <c r="J18" s="16"/>
    </row>
    <row r="19" ht="20.05" customHeight="1">
      <c r="B19" s="28"/>
      <c r="C19" s="17">
        <v>703</v>
      </c>
      <c r="D19" s="18"/>
      <c r="E19" s="18">
        <f>135.7+3+114.3-SUM(E16:E18)</f>
        <v>60.1</v>
      </c>
      <c r="F19" s="18">
        <v>-4.5</v>
      </c>
      <c r="G19" s="16">
        <f>C19/C18-1</f>
        <v>0.00428571428571429</v>
      </c>
      <c r="H19" s="16">
        <f>(E19+F19-C19)/C19</f>
        <v>-0.920910384068279</v>
      </c>
      <c r="I19" s="16">
        <f>AVERAGE(H16:H19)</f>
        <v>-0.907184854110389</v>
      </c>
      <c r="J19" s="16"/>
    </row>
    <row r="20" ht="20.05" customHeight="1">
      <c r="B20" s="29">
        <v>2020</v>
      </c>
      <c r="C20" s="17">
        <v>642</v>
      </c>
      <c r="D20" s="18"/>
      <c r="E20" s="18">
        <f>29.6+33.9</f>
        <v>63.5</v>
      </c>
      <c r="F20" s="18">
        <v>-18</v>
      </c>
      <c r="G20" s="16">
        <f>C20/C19-1</f>
        <v>-0.0867709815078236</v>
      </c>
      <c r="H20" s="16">
        <f>(E20+F20-C20)/C20</f>
        <v>-0.929127725856698</v>
      </c>
      <c r="I20" s="16">
        <f>AVERAGE(H17:H20)</f>
        <v>-0.918568069454735</v>
      </c>
      <c r="J20" s="16"/>
    </row>
    <row r="21" ht="20.05" customHeight="1">
      <c r="B21" s="28"/>
      <c r="C21" s="17">
        <v>487</v>
      </c>
      <c r="D21" s="18"/>
      <c r="E21" s="18">
        <f>60.1+67.8-E20</f>
        <v>64.40000000000001</v>
      </c>
      <c r="F21" s="18">
        <v>2</v>
      </c>
      <c r="G21" s="16">
        <f>C21/C20-1</f>
        <v>-0.241433021806854</v>
      </c>
      <c r="H21" s="16">
        <f>(E21+F21-C21)/C21</f>
        <v>-0.863655030800821</v>
      </c>
      <c r="I21" s="16">
        <f>AVERAGE(H18:H21)</f>
        <v>-0.911101856610021</v>
      </c>
      <c r="J21" s="16"/>
    </row>
    <row r="22" ht="20.05" customHeight="1">
      <c r="B22" s="28"/>
      <c r="C22" s="17">
        <v>410</v>
      </c>
      <c r="D22" s="18"/>
      <c r="E22" s="18">
        <f>88.8+101.7-SUM(E20:E21)</f>
        <v>62.6</v>
      </c>
      <c r="F22" s="18">
        <v>-29</v>
      </c>
      <c r="G22" s="16">
        <f>C22/C21-1</f>
        <v>-0.158110882956879</v>
      </c>
      <c r="H22" s="16">
        <f>(E22+F22-C22)/C22</f>
        <v>-0.918048780487805</v>
      </c>
      <c r="I22" s="16">
        <f>AVERAGE(H19:H22)</f>
        <v>-0.907935480303401</v>
      </c>
      <c r="J22" s="16"/>
    </row>
    <row r="23" ht="20.05" customHeight="1">
      <c r="B23" s="28"/>
      <c r="C23" s="17">
        <f>2077.2-SUM(C20:C22)</f>
        <v>538.2</v>
      </c>
      <c r="D23" s="18">
        <v>504.3</v>
      </c>
      <c r="E23" s="18">
        <f>135.6+6+123.9-SUM(E20:E22)</f>
        <v>75</v>
      </c>
      <c r="F23" s="18">
        <f>-103.4-SUM(F20:F22)</f>
        <v>-58.4</v>
      </c>
      <c r="G23" s="16">
        <f>C23/C22-1</f>
        <v>0.312682926829268</v>
      </c>
      <c r="H23" s="16">
        <f>(E23+F23-C23)/C23</f>
        <v>-0.969156447417317</v>
      </c>
      <c r="I23" s="16">
        <f>AVERAGE(H20:H23)</f>
        <v>-0.91999699614066</v>
      </c>
      <c r="J23" s="16"/>
    </row>
    <row r="24" ht="20.05" customHeight="1">
      <c r="B24" s="29">
        <v>2021</v>
      </c>
      <c r="C24" s="17">
        <v>582.2</v>
      </c>
      <c r="D24" s="18">
        <v>532.818</v>
      </c>
      <c r="E24" s="18">
        <v>64.5</v>
      </c>
      <c r="F24" s="18">
        <v>-3.2</v>
      </c>
      <c r="G24" s="16">
        <f>C24/C23-1</f>
        <v>0.0817539947974731</v>
      </c>
      <c r="H24" s="16">
        <f>(E24+F24-C24)/C24</f>
        <v>-0.894709721745105</v>
      </c>
      <c r="I24" s="16">
        <f>AVERAGE(H21:H24)</f>
        <v>-0.911392495112762</v>
      </c>
      <c r="J24" s="16"/>
    </row>
    <row r="25" ht="20.05" customHeight="1">
      <c r="B25" s="28"/>
      <c r="C25" s="17">
        <f>1287.8-C24</f>
        <v>705.6</v>
      </c>
      <c r="D25" s="18">
        <v>605.4880000000001</v>
      </c>
      <c r="E25" s="18">
        <v>64.5</v>
      </c>
      <c r="F25" s="18">
        <f>28.9-F24</f>
        <v>32.1</v>
      </c>
      <c r="G25" s="16">
        <f>C25/C24-1</f>
        <v>0.211954654757815</v>
      </c>
      <c r="H25" s="16">
        <f>(E25+F25-C25)/C25</f>
        <v>-0.863095238095238</v>
      </c>
      <c r="I25" s="16">
        <f>AVERAGE(H22:H25)</f>
        <v>-0.911252546936366</v>
      </c>
      <c r="J25" s="16"/>
    </row>
    <row r="26" ht="20.05" customHeight="1">
      <c r="B26" s="28"/>
      <c r="C26" s="17">
        <f>2155.6-SUM(C24:C25)</f>
        <v>867.8</v>
      </c>
      <c r="D26" s="30">
        <v>740.88</v>
      </c>
      <c r="E26" s="18">
        <v>64.5</v>
      </c>
      <c r="F26" s="18">
        <f>-8.4-SUM(F24:F25)</f>
        <v>-37.3</v>
      </c>
      <c r="G26" s="16">
        <f>C26/C25-1</f>
        <v>0.229875283446712</v>
      </c>
      <c r="H26" s="16">
        <f>(E26+F26-C26)/C26</f>
        <v>-0.968656372436045</v>
      </c>
      <c r="I26" s="16">
        <f>AVERAGE(H23:H26)</f>
        <v>-0.923904444923426</v>
      </c>
      <c r="J26" s="16"/>
    </row>
    <row r="27" ht="20.05" customHeight="1">
      <c r="B27" s="28"/>
      <c r="C27" s="17">
        <f>3069-C26-C25-C24</f>
        <v>913.4</v>
      </c>
      <c r="D27" s="30">
        <v>859.122</v>
      </c>
      <c r="E27" s="18">
        <v>64.5</v>
      </c>
      <c r="F27" s="18">
        <f>63-F26-F25-F24</f>
        <v>71.40000000000001</v>
      </c>
      <c r="G27" s="16">
        <f>C27/C26-1</f>
        <v>0.0525466697395713</v>
      </c>
      <c r="H27" s="16">
        <f>(E27+F27-C27)/C27</f>
        <v>-0.851215239763521</v>
      </c>
      <c r="I27" s="16">
        <f>AVERAGE(H24:H27)</f>
        <v>-0.894419143009977</v>
      </c>
      <c r="J27" s="16"/>
    </row>
    <row r="28" ht="20.05" customHeight="1">
      <c r="B28" s="29">
        <v>2022</v>
      </c>
      <c r="C28" s="17">
        <v>831</v>
      </c>
      <c r="D28" s="30">
        <f>'Model'!B5</f>
        <v>889.17</v>
      </c>
      <c r="E28" s="30">
        <v>48</v>
      </c>
      <c r="F28" s="18">
        <v>85</v>
      </c>
      <c r="G28" s="16">
        <f>C28/C27-1</f>
        <v>-0.09021239325596669</v>
      </c>
      <c r="H28" s="16">
        <f>(E28+F28-C28)/C28</f>
        <v>-0.839951865222623</v>
      </c>
      <c r="I28" s="16">
        <f>AVERAGE(H25:H28)</f>
        <v>-0.880729678879357</v>
      </c>
      <c r="J28" s="16">
        <v>-0.894419143009977</v>
      </c>
    </row>
    <row r="29" ht="20.05" customHeight="1">
      <c r="B29" s="28"/>
      <c r="C29" s="17"/>
      <c r="D29" s="30">
        <f>'Model'!B5</f>
        <v>889.17</v>
      </c>
      <c r="E29" s="18"/>
      <c r="F29" s="18"/>
      <c r="G29" s="16"/>
      <c r="H29" s="16"/>
      <c r="I29" s="16"/>
      <c r="J29" s="16">
        <f>'Model'!B6</f>
        <v>-0.839951865222623</v>
      </c>
    </row>
    <row r="30" ht="20.05" customHeight="1">
      <c r="B30" s="28"/>
      <c r="C30" s="17"/>
      <c r="D30" s="18">
        <f>'Model'!C5</f>
        <v>951.4118999999999</v>
      </c>
      <c r="E30" s="18"/>
      <c r="F30" s="18"/>
      <c r="G30" s="16"/>
      <c r="H30" s="16"/>
      <c r="I30" s="16"/>
      <c r="J30" s="16"/>
    </row>
    <row r="31" ht="20.05" customHeight="1">
      <c r="B31" s="28"/>
      <c r="C31" s="17"/>
      <c r="D31" s="18">
        <f>'Model'!D5</f>
        <v>998.982495</v>
      </c>
      <c r="E31" s="18">
        <f>SUM(C23:C28)</f>
        <v>4438.2</v>
      </c>
      <c r="F31" s="18">
        <f>SUM(D23:D28)</f>
        <v>4131.778</v>
      </c>
      <c r="G31" s="16"/>
      <c r="H31" s="16"/>
      <c r="I31" s="16"/>
      <c r="J31" s="16"/>
    </row>
    <row r="32" ht="20.05" customHeight="1">
      <c r="B32" s="29">
        <v>2023</v>
      </c>
      <c r="C32" s="17"/>
      <c r="D32" s="18">
        <f>'Model'!E5</f>
        <v>969.01302015</v>
      </c>
      <c r="E32" s="18"/>
      <c r="F32" s="18"/>
      <c r="G32" s="16"/>
      <c r="H32" s="16"/>
      <c r="I32" s="16"/>
      <c r="J32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75" style="31" customWidth="1"/>
    <col min="2" max="14" width="10.8359" style="31" customWidth="1"/>
    <col min="15" max="16384" width="16.3516" style="31" customWidth="1"/>
  </cols>
  <sheetData>
    <row r="1" ht="8.4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44</v>
      </c>
      <c r="D3" t="s" s="5">
        <v>8</v>
      </c>
      <c r="E3" t="s" s="5">
        <v>9</v>
      </c>
      <c r="F3" t="s" s="5">
        <v>11</v>
      </c>
      <c r="G3" t="s" s="5">
        <v>45</v>
      </c>
      <c r="H3" t="s" s="5">
        <v>10</v>
      </c>
      <c r="I3" t="s" s="5">
        <v>46</v>
      </c>
      <c r="J3" t="s" s="5">
        <v>33</v>
      </c>
      <c r="K3" t="s" s="5">
        <v>35</v>
      </c>
      <c r="L3" t="s" s="5">
        <v>29</v>
      </c>
      <c r="M3" t="s" s="5">
        <v>35</v>
      </c>
      <c r="N3" s="32"/>
    </row>
    <row r="4" ht="20.25" customHeight="1">
      <c r="B4" s="24">
        <v>2016</v>
      </c>
      <c r="C4" s="25">
        <v>186</v>
      </c>
      <c r="D4" s="26">
        <v>12</v>
      </c>
      <c r="E4" s="26">
        <v>34</v>
      </c>
      <c r="F4" s="26"/>
      <c r="G4" s="26"/>
      <c r="H4" s="26">
        <v>13</v>
      </c>
      <c r="I4" s="26">
        <f>D4+E4</f>
        <v>46</v>
      </c>
      <c r="J4" s="26"/>
      <c r="K4" s="26"/>
      <c r="L4" s="26">
        <f>-H4</f>
        <v>-13</v>
      </c>
      <c r="M4" s="26"/>
      <c r="N4" s="26">
        <v>1</v>
      </c>
    </row>
    <row r="5" ht="20.05" customHeight="1">
      <c r="B5" s="28"/>
      <c r="C5" s="17">
        <v>169</v>
      </c>
      <c r="D5" s="18">
        <v>9</v>
      </c>
      <c r="E5" s="18">
        <v>20</v>
      </c>
      <c r="F5" s="18"/>
      <c r="G5" s="18"/>
      <c r="H5" s="18">
        <v>-80</v>
      </c>
      <c r="I5" s="18">
        <f>D5+E5</f>
        <v>29</v>
      </c>
      <c r="J5" s="18"/>
      <c r="K5" s="18"/>
      <c r="L5" s="18">
        <f>-H5+L4</f>
        <v>67</v>
      </c>
      <c r="M5" s="18"/>
      <c r="N5" s="18">
        <f>1+N4</f>
        <v>2</v>
      </c>
    </row>
    <row r="6" ht="20.05" customHeight="1">
      <c r="B6" s="28"/>
      <c r="C6" s="17">
        <v>196</v>
      </c>
      <c r="D6" s="18">
        <v>-37</v>
      </c>
      <c r="E6" s="18">
        <v>42</v>
      </c>
      <c r="F6" s="18"/>
      <c r="G6" s="18"/>
      <c r="H6" s="18">
        <v>-26</v>
      </c>
      <c r="I6" s="18">
        <f>D6+E6</f>
        <v>5</v>
      </c>
      <c r="J6" s="18"/>
      <c r="K6" s="18"/>
      <c r="L6" s="18">
        <f>-H6+L5</f>
        <v>93</v>
      </c>
      <c r="M6" s="18"/>
      <c r="N6" s="18">
        <f>1+N5</f>
        <v>3</v>
      </c>
    </row>
    <row r="7" ht="20.05" customHeight="1">
      <c r="B7" s="28"/>
      <c r="C7" s="17">
        <v>222</v>
      </c>
      <c r="D7" s="18">
        <v>56</v>
      </c>
      <c r="E7" s="18">
        <v>21</v>
      </c>
      <c r="F7" s="18"/>
      <c r="G7" s="18"/>
      <c r="H7" s="18">
        <v>-79</v>
      </c>
      <c r="I7" s="18">
        <f>D7+E7</f>
        <v>77</v>
      </c>
      <c r="J7" s="18"/>
      <c r="K7" s="18"/>
      <c r="L7" s="18">
        <f>-H7+L6</f>
        <v>172</v>
      </c>
      <c r="M7" s="18"/>
      <c r="N7" s="18">
        <f>1+N6</f>
        <v>4</v>
      </c>
    </row>
    <row r="8" ht="20.05" customHeight="1">
      <c r="B8" s="29">
        <v>2017</v>
      </c>
      <c r="C8" s="17">
        <v>164</v>
      </c>
      <c r="D8" s="18">
        <v>12</v>
      </c>
      <c r="E8" s="18">
        <v>-15</v>
      </c>
      <c r="F8" s="18">
        <f>H8-G8</f>
        <v>-16.5</v>
      </c>
      <c r="G8" s="18">
        <v>2.5</v>
      </c>
      <c r="H8" s="18">
        <v>-14</v>
      </c>
      <c r="I8" s="18">
        <f>D8+E8</f>
        <v>-3</v>
      </c>
      <c r="J8" s="18">
        <f>AVERAGE(I5:I8)</f>
        <v>27</v>
      </c>
      <c r="K8" s="18"/>
      <c r="L8" s="18">
        <f>-(F8+G8)+L7</f>
        <v>186</v>
      </c>
      <c r="M8" s="18"/>
      <c r="N8" s="18">
        <f>1+N7</f>
        <v>5</v>
      </c>
    </row>
    <row r="9" ht="20.05" customHeight="1">
      <c r="B9" s="28"/>
      <c r="C9" s="17">
        <v>262</v>
      </c>
      <c r="D9" s="18">
        <v>31</v>
      </c>
      <c r="E9" s="18">
        <v>4</v>
      </c>
      <c r="F9" s="18">
        <f>H9-G9</f>
        <v>4.1</v>
      </c>
      <c r="G9" s="18">
        <v>0.9</v>
      </c>
      <c r="H9" s="18">
        <v>5</v>
      </c>
      <c r="I9" s="18">
        <f>D9+E9</f>
        <v>35</v>
      </c>
      <c r="J9" s="18">
        <f>AVERAGE(I6:I9)</f>
        <v>28.5</v>
      </c>
      <c r="K9" s="18"/>
      <c r="L9" s="18">
        <f>-(F9+G9)+L8</f>
        <v>181</v>
      </c>
      <c r="M9" s="18"/>
      <c r="N9" s="18">
        <f>1+N8</f>
        <v>6</v>
      </c>
    </row>
    <row r="10" ht="20.05" customHeight="1">
      <c r="B10" s="28"/>
      <c r="C10" s="17">
        <v>358</v>
      </c>
      <c r="D10" s="18">
        <v>97</v>
      </c>
      <c r="E10" s="18">
        <v>-26</v>
      </c>
      <c r="F10" s="18">
        <f>H10-G10</f>
        <v>-28.2</v>
      </c>
      <c r="G10" s="18">
        <v>0.2</v>
      </c>
      <c r="H10" s="18">
        <v>-28</v>
      </c>
      <c r="I10" s="18">
        <f>D10+E10</f>
        <v>71</v>
      </c>
      <c r="J10" s="18">
        <f>AVERAGE(I7:I10)</f>
        <v>45</v>
      </c>
      <c r="K10" s="18"/>
      <c r="L10" s="18">
        <f>-(F10+G10)+L9</f>
        <v>209</v>
      </c>
      <c r="M10" s="18"/>
      <c r="N10" s="18">
        <f>1+N9</f>
        <v>7</v>
      </c>
    </row>
    <row r="11" ht="20.05" customHeight="1">
      <c r="B11" s="28"/>
      <c r="C11" s="17">
        <v>484</v>
      </c>
      <c r="D11" s="18">
        <v>46</v>
      </c>
      <c r="E11" s="18">
        <v>-296</v>
      </c>
      <c r="F11" s="18">
        <f>H11-G11</f>
        <v>564.6</v>
      </c>
      <c r="G11" s="18">
        <v>-3.6</v>
      </c>
      <c r="H11" s="18">
        <v>561</v>
      </c>
      <c r="I11" s="18">
        <f>D11+E11</f>
        <v>-250</v>
      </c>
      <c r="J11" s="18">
        <f>AVERAGE(I8:I11)</f>
        <v>-36.75</v>
      </c>
      <c r="K11" s="18"/>
      <c r="L11" s="18">
        <f>-(F11+G11)+L10</f>
        <v>-352</v>
      </c>
      <c r="M11" s="18"/>
      <c r="N11" s="18">
        <f>1+N10</f>
        <v>8</v>
      </c>
    </row>
    <row r="12" ht="20.05" customHeight="1">
      <c r="B12" s="29">
        <v>2018</v>
      </c>
      <c r="C12" s="17">
        <v>761</v>
      </c>
      <c r="D12" s="18">
        <v>190</v>
      </c>
      <c r="E12" s="18">
        <v>-50</v>
      </c>
      <c r="F12" s="18">
        <f>H12-G12</f>
        <v>-28</v>
      </c>
      <c r="G12" s="18">
        <v>0</v>
      </c>
      <c r="H12" s="18">
        <v>-28</v>
      </c>
      <c r="I12" s="18">
        <f>D12+E12</f>
        <v>140</v>
      </c>
      <c r="J12" s="18">
        <f>AVERAGE(I9:I12)</f>
        <v>-1</v>
      </c>
      <c r="K12" s="18"/>
      <c r="L12" s="18">
        <f>-(F12+G12)+L11</f>
        <v>-324</v>
      </c>
      <c r="M12" s="18"/>
      <c r="N12" s="18">
        <f>1+N11</f>
        <v>9</v>
      </c>
    </row>
    <row r="13" ht="20.05" customHeight="1">
      <c r="B13" s="28"/>
      <c r="C13" s="17">
        <v>739</v>
      </c>
      <c r="D13" s="18">
        <v>-52</v>
      </c>
      <c r="E13" s="18">
        <v>-32</v>
      </c>
      <c r="F13" s="18">
        <f>H13-G13</f>
        <v>5</v>
      </c>
      <c r="G13" s="18">
        <v>-52</v>
      </c>
      <c r="H13" s="18">
        <v>-47</v>
      </c>
      <c r="I13" s="18">
        <f>D13+E13</f>
        <v>-84</v>
      </c>
      <c r="J13" s="18">
        <f>AVERAGE(I10:I13)</f>
        <v>-30.75</v>
      </c>
      <c r="K13" s="18"/>
      <c r="L13" s="18">
        <f>-(F13+G13)+L12</f>
        <v>-277</v>
      </c>
      <c r="M13" s="18"/>
      <c r="N13" s="18">
        <f>1+N12</f>
        <v>10</v>
      </c>
    </row>
    <row r="14" ht="20.05" customHeight="1">
      <c r="B14" s="28"/>
      <c r="C14" s="17">
        <v>686</v>
      </c>
      <c r="D14" s="18">
        <v>110</v>
      </c>
      <c r="E14" s="18">
        <v>-48</v>
      </c>
      <c r="F14" s="18">
        <f>H14-G14</f>
        <v>-18.5</v>
      </c>
      <c r="G14" s="18">
        <v>-4.5</v>
      </c>
      <c r="H14" s="18">
        <v>-23</v>
      </c>
      <c r="I14" s="18">
        <f>D14+E14</f>
        <v>62</v>
      </c>
      <c r="J14" s="18">
        <f>AVERAGE(I11:I14)</f>
        <v>-33</v>
      </c>
      <c r="K14" s="18"/>
      <c r="L14" s="18">
        <f>-(F14+G14)+L13</f>
        <v>-254</v>
      </c>
      <c r="M14" s="18"/>
      <c r="N14" s="18">
        <f>1+N13</f>
        <v>11</v>
      </c>
    </row>
    <row r="15" ht="20.05" customHeight="1">
      <c r="B15" s="28"/>
      <c r="C15" s="17">
        <v>736</v>
      </c>
      <c r="D15" s="18">
        <v>42</v>
      </c>
      <c r="E15" s="18">
        <v>-43</v>
      </c>
      <c r="F15" s="18">
        <f>H15-G15</f>
        <v>-17.8</v>
      </c>
      <c r="G15" s="18">
        <v>-7.2</v>
      </c>
      <c r="H15" s="18">
        <v>-25</v>
      </c>
      <c r="I15" s="18">
        <f>D15+E15</f>
        <v>-1</v>
      </c>
      <c r="J15" s="18">
        <f>AVERAGE(I12:I15)</f>
        <v>29.25</v>
      </c>
      <c r="K15" s="18"/>
      <c r="L15" s="18">
        <f>-(F15+G15)+L14</f>
        <v>-229</v>
      </c>
      <c r="M15" s="18"/>
      <c r="N15" s="18">
        <f>1+N14</f>
        <v>12</v>
      </c>
    </row>
    <row r="16" ht="20.05" customHeight="1">
      <c r="B16" s="29">
        <v>2019</v>
      </c>
      <c r="C16" s="17">
        <v>698</v>
      </c>
      <c r="D16" s="18">
        <v>77</v>
      </c>
      <c r="E16" s="18">
        <v>-19</v>
      </c>
      <c r="F16" s="18">
        <f>H16-G16</f>
        <v>79</v>
      </c>
      <c r="G16" s="18">
        <v>0</v>
      </c>
      <c r="H16" s="18">
        <v>79</v>
      </c>
      <c r="I16" s="18">
        <f>D16+E16</f>
        <v>58</v>
      </c>
      <c r="J16" s="18">
        <f>AVERAGE(I13:I16)</f>
        <v>8.75</v>
      </c>
      <c r="K16" s="18"/>
      <c r="L16" s="18">
        <f>-(F16+G16)+L15</f>
        <v>-308</v>
      </c>
      <c r="M16" s="18"/>
      <c r="N16" s="18">
        <f>1+N15</f>
        <v>13</v>
      </c>
    </row>
    <row r="17" ht="20.05" customHeight="1">
      <c r="B17" s="28"/>
      <c r="C17" s="17">
        <v>707</v>
      </c>
      <c r="D17" s="18">
        <v>-32</v>
      </c>
      <c r="E17" s="18">
        <v>-50</v>
      </c>
      <c r="F17" s="18">
        <f>H17-G17</f>
        <v>-1.6</v>
      </c>
      <c r="G17" s="18">
        <v>-44.9</v>
      </c>
      <c r="H17" s="18">
        <v>-46.5</v>
      </c>
      <c r="I17" s="18">
        <f>D17+E17</f>
        <v>-82</v>
      </c>
      <c r="J17" s="18">
        <f>AVERAGE(I14:I17)</f>
        <v>9.25</v>
      </c>
      <c r="K17" s="18"/>
      <c r="L17" s="18">
        <f>-(F17+G17)+L16</f>
        <v>-261.5</v>
      </c>
      <c r="M17" s="18"/>
      <c r="N17" s="18">
        <f>1+N16</f>
        <v>14</v>
      </c>
    </row>
    <row r="18" ht="20.05" customHeight="1">
      <c r="B18" s="28"/>
      <c r="C18" s="17">
        <v>701</v>
      </c>
      <c r="D18" s="18">
        <v>123</v>
      </c>
      <c r="E18" s="18">
        <v>-69</v>
      </c>
      <c r="F18" s="18">
        <f>H18-G18</f>
        <v>-54.5</v>
      </c>
      <c r="G18" s="18">
        <v>-9</v>
      </c>
      <c r="H18" s="18">
        <v>-63.5</v>
      </c>
      <c r="I18" s="18">
        <f>D18+E18</f>
        <v>54</v>
      </c>
      <c r="J18" s="18">
        <f>AVERAGE(I15:I18)</f>
        <v>7.25</v>
      </c>
      <c r="K18" s="18"/>
      <c r="L18" s="18">
        <f>-(F18+G18)+L17</f>
        <v>-198</v>
      </c>
      <c r="M18" s="18"/>
      <c r="N18" s="18">
        <f>1+N17</f>
        <v>15</v>
      </c>
    </row>
    <row r="19" ht="20.05" customHeight="1">
      <c r="B19" s="28"/>
      <c r="C19" s="17">
        <v>656</v>
      </c>
      <c r="D19" s="18">
        <v>-12</v>
      </c>
      <c r="E19" s="18">
        <v>-31</v>
      </c>
      <c r="F19" s="18">
        <f>H19-G19</f>
        <v>-0.8</v>
      </c>
      <c r="G19" s="18">
        <v>-1.2</v>
      </c>
      <c r="H19" s="18">
        <v>-2</v>
      </c>
      <c r="I19" s="18">
        <f>D19+E19</f>
        <v>-43</v>
      </c>
      <c r="J19" s="18">
        <f>AVERAGE(I16:I19)</f>
        <v>-3.25</v>
      </c>
      <c r="K19" s="18"/>
      <c r="L19" s="18">
        <f>-(F19+G19)+L18</f>
        <v>-196</v>
      </c>
      <c r="M19" s="18"/>
      <c r="N19" s="18">
        <f>1+N18</f>
        <v>16</v>
      </c>
    </row>
    <row r="20" ht="20.05" customHeight="1">
      <c r="B20" s="29">
        <v>2020</v>
      </c>
      <c r="C20" s="17">
        <v>632</v>
      </c>
      <c r="D20" s="18">
        <v>94</v>
      </c>
      <c r="E20" s="18">
        <v>-64</v>
      </c>
      <c r="F20" s="18">
        <f>H20-G20</f>
        <v>-2</v>
      </c>
      <c r="G20" s="18">
        <v>0</v>
      </c>
      <c r="H20" s="18">
        <v>-2</v>
      </c>
      <c r="I20" s="18">
        <f>D20+E20</f>
        <v>30</v>
      </c>
      <c r="J20" s="18">
        <f>AVERAGE(I17:I20)</f>
        <v>-10.25</v>
      </c>
      <c r="K20" s="18"/>
      <c r="L20" s="18">
        <f>-(F20+G20)+L19</f>
        <v>-194</v>
      </c>
      <c r="M20" s="18"/>
      <c r="N20" s="18">
        <f>1+N19</f>
        <v>17</v>
      </c>
    </row>
    <row r="21" ht="20.05" customHeight="1">
      <c r="B21" s="28"/>
      <c r="C21" s="17">
        <v>529</v>
      </c>
      <c r="D21" s="18">
        <v>-48</v>
      </c>
      <c r="E21" s="18">
        <v>-12</v>
      </c>
      <c r="F21" s="18">
        <f>H21-G21</f>
        <v>-9.5</v>
      </c>
      <c r="G21" s="18">
        <v>-36.5</v>
      </c>
      <c r="H21" s="18">
        <v>-46</v>
      </c>
      <c r="I21" s="18">
        <f>D21+E21</f>
        <v>-60</v>
      </c>
      <c r="J21" s="18">
        <f>AVERAGE(I18:I21)</f>
        <v>-4.75</v>
      </c>
      <c r="K21" s="18"/>
      <c r="L21" s="18">
        <f>-(F21+G21)+L20</f>
        <v>-148</v>
      </c>
      <c r="M21" s="18"/>
      <c r="N21" s="18">
        <f>1+N20</f>
        <v>18</v>
      </c>
    </row>
    <row r="22" ht="20.05" customHeight="1">
      <c r="B22" s="28"/>
      <c r="C22" s="17">
        <v>394</v>
      </c>
      <c r="D22" s="18">
        <v>31</v>
      </c>
      <c r="E22" s="18">
        <v>-19</v>
      </c>
      <c r="F22" s="18">
        <f>H22-G22</f>
        <v>-25.5</v>
      </c>
      <c r="G22" s="18">
        <v>-9.5</v>
      </c>
      <c r="H22" s="18">
        <v>-35</v>
      </c>
      <c r="I22" s="18">
        <f>D22+E22</f>
        <v>12</v>
      </c>
      <c r="J22" s="18">
        <f>AVERAGE(I19:I22)</f>
        <v>-15.25</v>
      </c>
      <c r="K22" s="18"/>
      <c r="L22" s="18">
        <f>-(F22+G22)+L21</f>
        <v>-113</v>
      </c>
      <c r="M22" s="18"/>
      <c r="N22" s="18">
        <f>1+N21</f>
        <v>19</v>
      </c>
    </row>
    <row r="23" ht="20.05" customHeight="1">
      <c r="B23" s="28"/>
      <c r="C23" s="17">
        <f>2056.3-SUM(C20:C22)</f>
        <v>501.3</v>
      </c>
      <c r="D23" s="18">
        <f>122.7-SUM(D20:D22)</f>
        <v>45.7</v>
      </c>
      <c r="E23" s="18">
        <f>-112-SUM(E20:E22)</f>
        <v>-17</v>
      </c>
      <c r="F23" s="18">
        <f>H23-G23</f>
        <v>155.1</v>
      </c>
      <c r="G23" s="18">
        <v>0</v>
      </c>
      <c r="H23" s="18">
        <f>72.1-SUM(H20:H22)</f>
        <v>155.1</v>
      </c>
      <c r="I23" s="18">
        <f>D23+E23</f>
        <v>28.7</v>
      </c>
      <c r="J23" s="18">
        <f>AVERAGE(I20:I23)</f>
        <v>2.675</v>
      </c>
      <c r="K23" s="18"/>
      <c r="L23" s="18">
        <f>-(F23+G23)+L22</f>
        <v>-268.1</v>
      </c>
      <c r="M23" s="18"/>
      <c r="N23" s="18">
        <f>1+N22</f>
        <v>20</v>
      </c>
    </row>
    <row r="24" ht="20.05" customHeight="1">
      <c r="B24" s="29">
        <v>2021</v>
      </c>
      <c r="C24" s="17">
        <v>528.2</v>
      </c>
      <c r="D24" s="18">
        <v>32.7</v>
      </c>
      <c r="E24" s="18">
        <v>-58.1</v>
      </c>
      <c r="F24" s="18">
        <f>H24-G24</f>
        <v>-47.7</v>
      </c>
      <c r="G24" s="18">
        <v>0</v>
      </c>
      <c r="H24" s="18">
        <f>-47.7</f>
        <v>-47.7</v>
      </c>
      <c r="I24" s="18">
        <f>D24+E24</f>
        <v>-25.4</v>
      </c>
      <c r="J24" s="18">
        <f>AVERAGE(I21:I24)</f>
        <v>-11.175</v>
      </c>
      <c r="K24" s="18"/>
      <c r="L24" s="18">
        <f>-(F24+G24)+L23</f>
        <v>-220.4</v>
      </c>
      <c r="M24" s="18"/>
      <c r="N24" s="18">
        <f>1+N23</f>
        <v>21</v>
      </c>
    </row>
    <row r="25" ht="20.05" customHeight="1">
      <c r="B25" s="28"/>
      <c r="C25" s="17">
        <f>1182.8-C24</f>
        <v>654.6</v>
      </c>
      <c r="D25" s="18">
        <f>77.4-D24</f>
        <v>44.7</v>
      </c>
      <c r="E25" s="18">
        <f>-38.3-E24</f>
        <v>19.8</v>
      </c>
      <c r="F25" s="18">
        <f>H25-G25</f>
        <v>-19.2</v>
      </c>
      <c r="G25" s="18">
        <v>-6</v>
      </c>
      <c r="H25" s="18">
        <f>-72.9-H24</f>
        <v>-25.2</v>
      </c>
      <c r="I25" s="18">
        <f>D25+E25</f>
        <v>64.5</v>
      </c>
      <c r="J25" s="18">
        <f>AVERAGE(I22:I25)</f>
        <v>19.95</v>
      </c>
      <c r="K25" s="18"/>
      <c r="L25" s="18">
        <f>-(F25+G25)+L24</f>
        <v>-195.2</v>
      </c>
      <c r="M25" s="18"/>
      <c r="N25" s="18">
        <f>1+N24</f>
        <v>22</v>
      </c>
    </row>
    <row r="26" ht="20.05" customHeight="1">
      <c r="B26" s="28"/>
      <c r="C26" s="17">
        <f>2026.3-SUM(C24:C25)</f>
        <v>843.5</v>
      </c>
      <c r="D26" s="18">
        <f>316.1-SUM(D24:D25)</f>
        <v>238.7</v>
      </c>
      <c r="E26" s="18">
        <f>-87.6-SUM(E24:E25)</f>
        <v>-49.3</v>
      </c>
      <c r="F26" s="18">
        <f>H26-G26</f>
        <v>-51.3</v>
      </c>
      <c r="G26" s="18">
        <v>-5.4</v>
      </c>
      <c r="H26" s="18">
        <f>-129.6-SUM(H24:H25)</f>
        <v>-56.7</v>
      </c>
      <c r="I26" s="18">
        <f>D26+E26</f>
        <v>189.4</v>
      </c>
      <c r="J26" s="18">
        <f>AVERAGE(I23:I26)</f>
        <v>64.3</v>
      </c>
      <c r="K26" s="18"/>
      <c r="L26" s="18">
        <f>-(F26+G26)+L25</f>
        <v>-138.5</v>
      </c>
      <c r="M26" s="18"/>
      <c r="N26" s="18">
        <f>1+N25</f>
        <v>23</v>
      </c>
    </row>
    <row r="27" ht="20.05" customHeight="1">
      <c r="B27" s="28"/>
      <c r="C27" s="17">
        <f>3281-C26-C25-C24</f>
        <v>1254.7</v>
      </c>
      <c r="D27" s="18">
        <f>485.1-D26-D25-D24</f>
        <v>169</v>
      </c>
      <c r="E27" s="18">
        <f>-47.8-E26-E25-E24</f>
        <v>39.8</v>
      </c>
      <c r="F27" s="18">
        <f>8.5-112-F26-F25-F24</f>
        <v>14.7</v>
      </c>
      <c r="G27" s="18">
        <f>-24.9-G26-G25-G24</f>
        <v>-13.5</v>
      </c>
      <c r="H27" s="18">
        <f>-130.2-H26-H25-H24</f>
        <v>-0.6</v>
      </c>
      <c r="I27" s="18">
        <f>D27+E27</f>
        <v>208.8</v>
      </c>
      <c r="J27" s="18">
        <f>AVERAGE(I24:I27)</f>
        <v>109.325</v>
      </c>
      <c r="K27" s="18"/>
      <c r="L27" s="18">
        <f>-(F27+G27)+L26</f>
        <v>-139.7</v>
      </c>
      <c r="M27" s="18"/>
      <c r="N27" s="18">
        <f>1+N26</f>
        <v>24</v>
      </c>
    </row>
    <row r="28" ht="20.05" customHeight="1">
      <c r="B28" s="29">
        <v>2022</v>
      </c>
      <c r="C28" s="17">
        <v>786</v>
      </c>
      <c r="D28" s="18">
        <v>172.7</v>
      </c>
      <c r="E28" s="18">
        <v>-84.2</v>
      </c>
      <c r="F28" s="18">
        <v>11</v>
      </c>
      <c r="G28" s="18">
        <v>37</v>
      </c>
      <c r="H28" s="18">
        <v>48.1</v>
      </c>
      <c r="I28" s="18">
        <f>D28+E28</f>
        <v>88.5</v>
      </c>
      <c r="J28" s="18">
        <f>AVERAGE(I25:I28)</f>
        <v>137.8</v>
      </c>
      <c r="K28" s="18">
        <v>104.848705026931</v>
      </c>
      <c r="L28" s="18">
        <f>-(F28+G28)+L27</f>
        <v>-187.7</v>
      </c>
      <c r="M28" s="18">
        <v>236.168790573271</v>
      </c>
      <c r="N28" s="18">
        <f>1+N27</f>
        <v>25</v>
      </c>
    </row>
    <row r="29" ht="20.05" customHeight="1">
      <c r="B29" s="28"/>
      <c r="C29" s="17"/>
      <c r="D29" s="18"/>
      <c r="E29" s="18"/>
      <c r="F29" s="18"/>
      <c r="G29" s="18"/>
      <c r="H29" s="18"/>
      <c r="I29" s="18"/>
      <c r="J29" s="21"/>
      <c r="K29" s="18">
        <f>SUM('Model'!E8:E9)</f>
        <v>136.61372645</v>
      </c>
      <c r="L29" s="21"/>
      <c r="M29" s="18">
        <f>'Model'!E33</f>
        <v>347.95571145</v>
      </c>
      <c r="N29" s="18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33" customWidth="1"/>
    <col min="2" max="11" width="9.46875" style="33" customWidth="1"/>
    <col min="12" max="16384" width="16.3516" style="33" customWidth="1"/>
  </cols>
  <sheetData>
    <row r="1" ht="20.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47</v>
      </c>
      <c r="D3" t="s" s="5">
        <v>48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25</v>
      </c>
      <c r="J3" t="s" s="5">
        <v>26</v>
      </c>
      <c r="K3" t="s" s="5">
        <v>35</v>
      </c>
    </row>
    <row r="4" ht="20.25" customHeight="1">
      <c r="B4" s="24">
        <v>2016</v>
      </c>
      <c r="C4" s="25">
        <v>319</v>
      </c>
      <c r="D4" s="26">
        <v>2134</v>
      </c>
      <c r="E4" s="26">
        <f>D4-C4</f>
        <v>1815</v>
      </c>
      <c r="F4" s="26">
        <f>'Sales'!E4</f>
        <v>26.1</v>
      </c>
      <c r="G4" s="26">
        <v>1311</v>
      </c>
      <c r="H4" s="26">
        <v>823</v>
      </c>
      <c r="I4" s="26">
        <f>G4+H4-C4-E4</f>
        <v>0</v>
      </c>
      <c r="J4" s="26">
        <f>C4-G4</f>
        <v>-992</v>
      </c>
      <c r="K4" s="26"/>
    </row>
    <row r="5" ht="20.05" customHeight="1">
      <c r="B5" s="28"/>
      <c r="C5" s="17">
        <v>266</v>
      </c>
      <c r="D5" s="18">
        <v>1989</v>
      </c>
      <c r="E5" s="18">
        <f>D5-C5</f>
        <v>1723</v>
      </c>
      <c r="F5" s="18">
        <f>F4+'Sales'!E5</f>
        <v>54</v>
      </c>
      <c r="G5" s="18">
        <v>1190</v>
      </c>
      <c r="H5" s="18">
        <v>799</v>
      </c>
      <c r="I5" s="18">
        <f>G5+H5-C5-E5</f>
        <v>0</v>
      </c>
      <c r="J5" s="18">
        <f>C5-G5</f>
        <v>-924</v>
      </c>
      <c r="K5" s="18"/>
    </row>
    <row r="6" ht="20.05" customHeight="1">
      <c r="B6" s="28"/>
      <c r="C6" s="17">
        <v>246</v>
      </c>
      <c r="D6" s="18">
        <v>1976</v>
      </c>
      <c r="E6" s="18">
        <f>D6-C6</f>
        <v>1730</v>
      </c>
      <c r="F6" s="18">
        <f>F5+'Sales'!E6</f>
        <v>80.90000000000001</v>
      </c>
      <c r="G6" s="18">
        <v>1172</v>
      </c>
      <c r="H6" s="18">
        <v>804</v>
      </c>
      <c r="I6" s="18">
        <f>G6+H6-C6-E6</f>
        <v>0</v>
      </c>
      <c r="J6" s="18">
        <f>C6-G6</f>
        <v>-926</v>
      </c>
      <c r="K6" s="18"/>
    </row>
    <row r="7" ht="20.05" customHeight="1">
      <c r="B7" s="28"/>
      <c r="C7" s="17">
        <v>244</v>
      </c>
      <c r="D7" s="18">
        <v>1822</v>
      </c>
      <c r="E7" s="18">
        <f>D7-C7</f>
        <v>1578</v>
      </c>
      <c r="F7" s="18">
        <f>F6+'Sales'!E7</f>
        <v>110.4</v>
      </c>
      <c r="G7" s="18">
        <v>1081</v>
      </c>
      <c r="H7" s="18">
        <v>741</v>
      </c>
      <c r="I7" s="18">
        <f>G7+H7-C7-E7</f>
        <v>0</v>
      </c>
      <c r="J7" s="18">
        <f>C7-G7</f>
        <v>-837</v>
      </c>
      <c r="K7" s="18"/>
    </row>
    <row r="8" ht="20.05" customHeight="1">
      <c r="B8" s="29">
        <v>2017</v>
      </c>
      <c r="C8" s="17">
        <v>227</v>
      </c>
      <c r="D8" s="18">
        <v>1899</v>
      </c>
      <c r="E8" s="18">
        <f>D8-C8</f>
        <v>1672</v>
      </c>
      <c r="F8" s="18">
        <f>F7+'Sales'!E8</f>
        <v>131</v>
      </c>
      <c r="G8" s="18">
        <v>1135</v>
      </c>
      <c r="H8" s="18">
        <v>764</v>
      </c>
      <c r="I8" s="18">
        <f>G8+H8-C8-E8</f>
        <v>0</v>
      </c>
      <c r="J8" s="18">
        <f>C8-G8</f>
        <v>-908</v>
      </c>
      <c r="K8" s="18"/>
    </row>
    <row r="9" ht="20.05" customHeight="1">
      <c r="B9" s="28"/>
      <c r="C9" s="17">
        <v>267</v>
      </c>
      <c r="D9" s="18">
        <v>1915</v>
      </c>
      <c r="E9" s="18">
        <f>D9-C9</f>
        <v>1648</v>
      </c>
      <c r="F9" s="18">
        <f>F8+'Sales'!E9</f>
        <v>151.6</v>
      </c>
      <c r="G9" s="18">
        <v>1122</v>
      </c>
      <c r="H9" s="18">
        <v>793</v>
      </c>
      <c r="I9" s="18">
        <f>G9+H9-C9-E9</f>
        <v>0</v>
      </c>
      <c r="J9" s="18">
        <f>C9-G9</f>
        <v>-855</v>
      </c>
      <c r="K9" s="18"/>
    </row>
    <row r="10" ht="20.05" customHeight="1">
      <c r="B10" s="28"/>
      <c r="C10" s="17">
        <v>311</v>
      </c>
      <c r="D10" s="18">
        <v>1931</v>
      </c>
      <c r="E10" s="18">
        <f>D10-C10</f>
        <v>1620</v>
      </c>
      <c r="F10" s="18">
        <f>F9+'Sales'!E10</f>
        <v>173.4</v>
      </c>
      <c r="G10" s="18">
        <v>1110</v>
      </c>
      <c r="H10" s="18">
        <v>821</v>
      </c>
      <c r="I10" s="18">
        <f>G10+H10-C10-E10</f>
        <v>0</v>
      </c>
      <c r="J10" s="18">
        <f>C10-G10</f>
        <v>-799</v>
      </c>
      <c r="K10" s="18"/>
    </row>
    <row r="11" ht="20.05" customHeight="1">
      <c r="B11" s="28"/>
      <c r="C11" s="17">
        <v>622</v>
      </c>
      <c r="D11" s="18">
        <v>3636</v>
      </c>
      <c r="E11" s="18">
        <f>D11-C11</f>
        <v>3014</v>
      </c>
      <c r="F11" s="18">
        <f>F10+'Sales'!E11</f>
        <v>227.5</v>
      </c>
      <c r="G11" s="18">
        <v>2521</v>
      </c>
      <c r="H11" s="18">
        <v>1115</v>
      </c>
      <c r="I11" s="18">
        <f>G11+H11-C11-E11</f>
        <v>0</v>
      </c>
      <c r="J11" s="18">
        <f>C11-G11</f>
        <v>-1899</v>
      </c>
      <c r="K11" s="18"/>
    </row>
    <row r="12" ht="20.05" customHeight="1">
      <c r="B12" s="29">
        <v>2018</v>
      </c>
      <c r="C12" s="17">
        <v>733</v>
      </c>
      <c r="D12" s="18">
        <v>3743</v>
      </c>
      <c r="E12" s="18">
        <f>D12-C12</f>
        <v>3010</v>
      </c>
      <c r="F12" s="18">
        <f>F11+'Sales'!E12</f>
        <v>287.9</v>
      </c>
      <c r="G12" s="18">
        <v>2562</v>
      </c>
      <c r="H12" s="18">
        <v>1181</v>
      </c>
      <c r="I12" s="18">
        <f>G12+H12-C12-E12</f>
        <v>0</v>
      </c>
      <c r="J12" s="18">
        <f>C12-G12</f>
        <v>-1829</v>
      </c>
      <c r="K12" s="18"/>
    </row>
    <row r="13" ht="20.05" customHeight="1">
      <c r="B13" s="28"/>
      <c r="C13" s="17">
        <v>599</v>
      </c>
      <c r="D13" s="18">
        <v>3563</v>
      </c>
      <c r="E13" s="18">
        <f>D13-C13</f>
        <v>2964</v>
      </c>
      <c r="F13" s="18">
        <f>F12+'Sales'!E13</f>
        <v>352.2</v>
      </c>
      <c r="G13" s="18">
        <v>2414</v>
      </c>
      <c r="H13" s="18">
        <v>1149</v>
      </c>
      <c r="I13" s="18">
        <f>G13+H13-C13-E13</f>
        <v>0</v>
      </c>
      <c r="J13" s="18">
        <f>C13-G13</f>
        <v>-1815</v>
      </c>
      <c r="K13" s="18"/>
    </row>
    <row r="14" ht="20.05" customHeight="1">
      <c r="B14" s="28"/>
      <c r="C14" s="17">
        <v>638</v>
      </c>
      <c r="D14" s="18">
        <v>3679</v>
      </c>
      <c r="E14" s="18">
        <f>D14-C14</f>
        <v>3041</v>
      </c>
      <c r="F14" s="18">
        <f>F13+'Sales'!E14</f>
        <v>412.1</v>
      </c>
      <c r="G14" s="18">
        <v>2482</v>
      </c>
      <c r="H14" s="18">
        <v>1196</v>
      </c>
      <c r="I14" s="18">
        <f>G14+H14-C14-E14</f>
        <v>-1</v>
      </c>
      <c r="J14" s="18">
        <f>C14-G14</f>
        <v>-1844</v>
      </c>
      <c r="K14" s="18"/>
    </row>
    <row r="15" ht="20.05" customHeight="1">
      <c r="B15" s="28"/>
      <c r="C15" s="17">
        <v>613</v>
      </c>
      <c r="D15" s="18">
        <v>3670</v>
      </c>
      <c r="E15" s="18">
        <f>D15-C15</f>
        <v>3057</v>
      </c>
      <c r="F15" s="18">
        <f>F14+'Sales'!E15</f>
        <v>486.3</v>
      </c>
      <c r="G15" s="18">
        <v>2543</v>
      </c>
      <c r="H15" s="18">
        <v>1127</v>
      </c>
      <c r="I15" s="18">
        <f>G15+H15-C15-E15</f>
        <v>0</v>
      </c>
      <c r="J15" s="18">
        <f>C15-G15</f>
        <v>-1930</v>
      </c>
      <c r="K15" s="18"/>
    </row>
    <row r="16" ht="20.05" customHeight="1">
      <c r="B16" s="29">
        <v>2019</v>
      </c>
      <c r="C16" s="17">
        <v>752</v>
      </c>
      <c r="D16" s="18">
        <v>3774</v>
      </c>
      <c r="E16" s="18">
        <f>D16-C16</f>
        <v>3022</v>
      </c>
      <c r="F16" s="18">
        <f>F15+'Sales'!E16</f>
        <v>549.4</v>
      </c>
      <c r="G16" s="18">
        <v>2647</v>
      </c>
      <c r="H16" s="18">
        <v>1127</v>
      </c>
      <c r="I16" s="18">
        <f>G16+H16-C16-E16</f>
        <v>0</v>
      </c>
      <c r="J16" s="18">
        <f>C16-G16</f>
        <v>-1895</v>
      </c>
      <c r="K16" s="18"/>
    </row>
    <row r="17" ht="20.05" customHeight="1">
      <c r="B17" s="28"/>
      <c r="C17" s="17">
        <v>621</v>
      </c>
      <c r="D17" s="18">
        <v>3561</v>
      </c>
      <c r="E17" s="18">
        <f>D17-C17</f>
        <v>2940</v>
      </c>
      <c r="F17" s="18">
        <f>F16+'Sales'!E17</f>
        <v>616.2</v>
      </c>
      <c r="G17" s="18">
        <v>2480</v>
      </c>
      <c r="H17" s="18">
        <v>1081</v>
      </c>
      <c r="I17" s="18">
        <f>G17+H17-C17-E17</f>
        <v>0</v>
      </c>
      <c r="J17" s="18">
        <f>C17-G17</f>
        <v>-1859</v>
      </c>
      <c r="K17" s="18"/>
    </row>
    <row r="18" ht="20.05" customHeight="1">
      <c r="B18" s="28"/>
      <c r="C18" s="17">
        <v>611</v>
      </c>
      <c r="D18" s="18">
        <v>3696</v>
      </c>
      <c r="E18" s="18">
        <f>D18-C18</f>
        <v>3085</v>
      </c>
      <c r="F18" s="18">
        <f>F17+'Sales'!E18</f>
        <v>679.2</v>
      </c>
      <c r="G18" s="18">
        <v>2612</v>
      </c>
      <c r="H18" s="18">
        <v>1084</v>
      </c>
      <c r="I18" s="18">
        <f>G18+H18-C18-E18</f>
        <v>0</v>
      </c>
      <c r="J18" s="18">
        <f>C18-G18</f>
        <v>-2001</v>
      </c>
      <c r="K18" s="18"/>
    </row>
    <row r="19" ht="20.05" customHeight="1">
      <c r="B19" s="28"/>
      <c r="C19" s="17">
        <v>569</v>
      </c>
      <c r="D19" s="18">
        <v>3616</v>
      </c>
      <c r="E19" s="18">
        <f>D19-C19</f>
        <v>3047</v>
      </c>
      <c r="F19" s="18">
        <f>30+21+2+11+1076+491+14+147+57+4+13</f>
        <v>1866</v>
      </c>
      <c r="G19" s="18">
        <v>2570</v>
      </c>
      <c r="H19" s="18">
        <v>1046</v>
      </c>
      <c r="I19" s="18">
        <f>G19+H19-C19-E19</f>
        <v>0</v>
      </c>
      <c r="J19" s="18">
        <f>C19-G19</f>
        <v>-2001</v>
      </c>
      <c r="K19" s="18"/>
    </row>
    <row r="20" ht="20.05" customHeight="1">
      <c r="B20" s="29">
        <v>2020</v>
      </c>
      <c r="C20" s="17">
        <v>580</v>
      </c>
      <c r="D20" s="18">
        <v>3521</v>
      </c>
      <c r="E20" s="18">
        <f>D20-C20</f>
        <v>2941</v>
      </c>
      <c r="F20" s="18">
        <f>F19+'Sales'!E20</f>
        <v>1929.5</v>
      </c>
      <c r="G20" s="18">
        <v>2521</v>
      </c>
      <c r="H20" s="18">
        <v>1000</v>
      </c>
      <c r="I20" s="18">
        <f>G20+H20-C20-E20</f>
        <v>0</v>
      </c>
      <c r="J20" s="18">
        <f>C20-G20</f>
        <v>-1941</v>
      </c>
      <c r="K20" s="18"/>
    </row>
    <row r="21" ht="20.05" customHeight="1">
      <c r="B21" s="28"/>
      <c r="C21" s="17">
        <v>488</v>
      </c>
      <c r="D21" s="18">
        <v>3369</v>
      </c>
      <c r="E21" s="18">
        <f>D21-C21</f>
        <v>2881</v>
      </c>
      <c r="F21" s="18">
        <f>F20+'Sales'!E21</f>
        <v>1993.9</v>
      </c>
      <c r="G21" s="18">
        <v>2404</v>
      </c>
      <c r="H21" s="18">
        <v>965</v>
      </c>
      <c r="I21" s="18">
        <f>G21+H21-C21-E21</f>
        <v>0</v>
      </c>
      <c r="J21" s="18">
        <f>C21-G21</f>
        <v>-1916</v>
      </c>
      <c r="K21" s="18"/>
    </row>
    <row r="22" ht="20.05" customHeight="1">
      <c r="B22" s="28"/>
      <c r="C22" s="17">
        <v>467</v>
      </c>
      <c r="D22" s="18">
        <v>3316</v>
      </c>
      <c r="E22" s="18">
        <f>D22-C22</f>
        <v>2849</v>
      </c>
      <c r="F22" s="18">
        <f>F21+'Sales'!E22</f>
        <v>2056.5</v>
      </c>
      <c r="G22" s="18">
        <v>2385</v>
      </c>
      <c r="H22" s="18">
        <v>931</v>
      </c>
      <c r="I22" s="18">
        <f>G22+H22-C22-E22</f>
        <v>0</v>
      </c>
      <c r="J22" s="18">
        <f>C22-G22</f>
        <v>-1918</v>
      </c>
      <c r="K22" s="18"/>
    </row>
    <row r="23" ht="20.05" customHeight="1">
      <c r="B23" s="28"/>
      <c r="C23" s="17">
        <v>651</v>
      </c>
      <c r="D23" s="18">
        <v>3494</v>
      </c>
      <c r="E23" s="18">
        <f>D23-C23</f>
        <v>2843</v>
      </c>
      <c r="F23" s="18">
        <f>6+2+3+3+21+32+11+1073+19+82+628+147+57</f>
        <v>2084</v>
      </c>
      <c r="G23" s="18">
        <v>2627</v>
      </c>
      <c r="H23" s="18">
        <v>867</v>
      </c>
      <c r="I23" s="18">
        <f>G23+H23-C23-E23</f>
        <v>0</v>
      </c>
      <c r="J23" s="18">
        <f>C23-G23</f>
        <v>-1976</v>
      </c>
      <c r="K23" s="18"/>
    </row>
    <row r="24" ht="20.05" customHeight="1">
      <c r="B24" s="29">
        <v>2021</v>
      </c>
      <c r="C24" s="17">
        <f>C23+'Cashflow '!D24+'Cashflow '!E24+'Cashflow '!H24</f>
        <v>577.9</v>
      </c>
      <c r="D24" s="18">
        <v>3565</v>
      </c>
      <c r="E24" s="18">
        <f>D24-C24</f>
        <v>2987.1</v>
      </c>
      <c r="F24" s="18">
        <f>21+33+11+1102+18+82+663+147+57</f>
        <v>2134</v>
      </c>
      <c r="G24" s="18">
        <v>2699</v>
      </c>
      <c r="H24" s="18">
        <v>866</v>
      </c>
      <c r="I24" s="18">
        <f>G24+H24-C24-E24</f>
        <v>0</v>
      </c>
      <c r="J24" s="18">
        <f>C24-G24</f>
        <v>-2121.1</v>
      </c>
      <c r="K24" s="18"/>
    </row>
    <row r="25" ht="20.05" customHeight="1">
      <c r="B25" s="28"/>
      <c r="C25" s="17">
        <f>C24+'Cashflow '!D25+'Cashflow '!E25+'Cashflow '!H25</f>
        <v>617.2</v>
      </c>
      <c r="D25" s="18">
        <v>3596</v>
      </c>
      <c r="E25" s="18">
        <f>D25-C25</f>
        <v>2978.8</v>
      </c>
      <c r="F25" s="18">
        <f>3+1+3+2+21+33+11+1122+81+697+147+57</f>
        <v>2178</v>
      </c>
      <c r="G25" s="18">
        <v>2708</v>
      </c>
      <c r="H25" s="18">
        <v>888</v>
      </c>
      <c r="I25" s="18">
        <f>G25+H25-C25-E25</f>
        <v>0</v>
      </c>
      <c r="J25" s="18">
        <f>C25-G25</f>
        <v>-2090.8</v>
      </c>
      <c r="K25" s="18"/>
    </row>
    <row r="26" ht="20.05" customHeight="1">
      <c r="B26" s="28"/>
      <c r="C26" s="17">
        <f>C25+'Cashflow '!D26+'Cashflow '!E26+'Cashflow '!H26</f>
        <v>749.9</v>
      </c>
      <c r="D26" s="18">
        <v>3682</v>
      </c>
      <c r="E26" s="18">
        <f>D26-C26</f>
        <v>2932.1</v>
      </c>
      <c r="F26" s="18">
        <f>33+11+929+12+86+624+124+57+2+21+1+1+3</f>
        <v>1904</v>
      </c>
      <c r="G26" s="18">
        <v>2830</v>
      </c>
      <c r="H26" s="18">
        <v>852</v>
      </c>
      <c r="I26" s="18">
        <f>G26+H26-C26-E26</f>
        <v>0</v>
      </c>
      <c r="J26" s="18">
        <f>C26-G26</f>
        <v>-2080.1</v>
      </c>
      <c r="K26" s="18"/>
    </row>
    <row r="27" ht="20.05" customHeight="1">
      <c r="B27" s="28"/>
      <c r="C27" s="17">
        <f>C26+'Cashflow '!D27+'Cashflow '!E27+'Cashflow '!H27</f>
        <v>958.1</v>
      </c>
      <c r="D27" s="18">
        <v>3691</v>
      </c>
      <c r="E27" s="18">
        <f>D27-C27</f>
        <v>2732.9</v>
      </c>
      <c r="F27" s="18">
        <f>F26+'Sales'!E27</f>
        <v>1968.5</v>
      </c>
      <c r="G27" s="18">
        <v>2808</v>
      </c>
      <c r="H27" s="18">
        <f>D27-G27</f>
        <v>883</v>
      </c>
      <c r="I27" s="18">
        <f>G27+H27-C27-E27</f>
        <v>0</v>
      </c>
      <c r="J27" s="18">
        <f>C27-G27</f>
        <v>-1849.9</v>
      </c>
      <c r="K27" s="18"/>
    </row>
    <row r="28" ht="20.05" customHeight="1">
      <c r="B28" s="29">
        <v>2022</v>
      </c>
      <c r="C28" s="17">
        <f>C27+'Cashflow '!D28+'Cashflow '!E28+'Cashflow '!H28</f>
        <v>1094.7</v>
      </c>
      <c r="D28" s="18">
        <v>3999.9</v>
      </c>
      <c r="E28" s="18">
        <f>D28-C28</f>
        <v>2905.2</v>
      </c>
      <c r="F28" s="18">
        <f>F27+'Sales'!E28</f>
        <v>2016.5</v>
      </c>
      <c r="G28" s="18">
        <v>2997.7</v>
      </c>
      <c r="H28" s="18">
        <f>D28-G28</f>
        <v>1002.2</v>
      </c>
      <c r="I28" s="18">
        <f>G28+H28-C28-E28</f>
        <v>0</v>
      </c>
      <c r="J28" s="18">
        <f>C28-G28</f>
        <v>-1903</v>
      </c>
      <c r="K28" s="18">
        <v>-1523.731846598710</v>
      </c>
    </row>
    <row r="29" ht="20.05" customHeight="1">
      <c r="B29" s="28"/>
      <c r="C29" s="17"/>
      <c r="D29" s="21"/>
      <c r="E29" s="18"/>
      <c r="F29" s="18"/>
      <c r="G29" s="18"/>
      <c r="H29" s="18"/>
      <c r="I29" s="18"/>
      <c r="J29" s="18"/>
      <c r="K29" s="18">
        <f>'Model'!E30</f>
        <v>-1492.611001985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2.0781" style="34" customWidth="1"/>
    <col min="4" max="16384" width="16.3516" style="34" customWidth="1"/>
  </cols>
  <sheetData>
    <row r="1" ht="27.65" customHeight="1">
      <c r="A1" t="s" s="2">
        <v>49</v>
      </c>
      <c r="B1" s="2"/>
      <c r="C1" s="2"/>
    </row>
    <row r="2" ht="20.25" customHeight="1">
      <c r="A2" s="32"/>
      <c r="B2" t="s" s="5">
        <v>50</v>
      </c>
      <c r="C2" t="s" s="5">
        <v>38</v>
      </c>
    </row>
    <row r="3" ht="20.25" customHeight="1">
      <c r="A3" s="24">
        <v>2018</v>
      </c>
      <c r="B3" s="35">
        <v>3530</v>
      </c>
      <c r="C3" s="26"/>
    </row>
    <row r="4" ht="20.05" customHeight="1">
      <c r="A4" s="28"/>
      <c r="B4" s="36">
        <v>3420</v>
      </c>
      <c r="C4" s="18"/>
    </row>
    <row r="5" ht="20.05" customHeight="1">
      <c r="A5" s="28"/>
      <c r="B5" s="36">
        <v>2800</v>
      </c>
      <c r="C5" s="18"/>
    </row>
    <row r="6" ht="20.05" customHeight="1">
      <c r="A6" s="28"/>
      <c r="B6" s="36">
        <v>1585</v>
      </c>
      <c r="C6" s="18"/>
    </row>
    <row r="7" ht="20.05" customHeight="1">
      <c r="A7" s="29">
        <v>2019</v>
      </c>
      <c r="B7" s="36">
        <v>1825</v>
      </c>
      <c r="C7" s="18"/>
    </row>
    <row r="8" ht="20.05" customHeight="1">
      <c r="A8" s="28"/>
      <c r="B8" s="36">
        <v>1680</v>
      </c>
      <c r="C8" s="18"/>
    </row>
    <row r="9" ht="20.05" customHeight="1">
      <c r="A9" s="28"/>
      <c r="B9" s="36">
        <v>1315</v>
      </c>
      <c r="C9" s="18"/>
    </row>
    <row r="10" ht="20.05" customHeight="1">
      <c r="A10" s="28"/>
      <c r="B10" s="36">
        <v>1195</v>
      </c>
      <c r="C10" s="18"/>
    </row>
    <row r="11" ht="20.05" customHeight="1">
      <c r="A11" s="29">
        <v>2020</v>
      </c>
      <c r="B11" s="36">
        <v>695</v>
      </c>
      <c r="C11" s="18"/>
    </row>
    <row r="12" ht="20.05" customHeight="1">
      <c r="A12" s="28"/>
      <c r="B12" s="36">
        <v>670</v>
      </c>
      <c r="C12" s="18"/>
    </row>
    <row r="13" ht="20.05" customHeight="1">
      <c r="A13" s="28"/>
      <c r="B13" s="36">
        <v>920</v>
      </c>
      <c r="C13" s="18"/>
    </row>
    <row r="14" ht="20.05" customHeight="1">
      <c r="A14" s="28"/>
      <c r="B14" s="36">
        <v>1730</v>
      </c>
      <c r="C14" s="18"/>
    </row>
    <row r="15" ht="20.05" customHeight="1">
      <c r="A15" s="29">
        <v>2021</v>
      </c>
      <c r="B15" s="17">
        <v>1425</v>
      </c>
      <c r="C15" s="18"/>
    </row>
    <row r="16" ht="20.05" customHeight="1">
      <c r="A16" s="28"/>
      <c r="B16" s="17">
        <v>1290</v>
      </c>
      <c r="C16" s="18"/>
    </row>
    <row r="17" ht="20.05" customHeight="1">
      <c r="A17" s="28"/>
      <c r="B17" s="17">
        <v>1955</v>
      </c>
      <c r="C17" s="18"/>
    </row>
    <row r="18" ht="20.05" customHeight="1">
      <c r="A18" s="28"/>
      <c r="B18" s="17">
        <v>1580</v>
      </c>
      <c r="C18" s="18"/>
    </row>
    <row r="19" ht="20.05" customHeight="1">
      <c r="A19" s="29">
        <v>2022</v>
      </c>
      <c r="B19" s="17">
        <v>2280</v>
      </c>
      <c r="C19" s="18">
        <v>5055.417958489560</v>
      </c>
    </row>
    <row r="20" ht="20.05" customHeight="1">
      <c r="A20" s="28"/>
      <c r="B20" s="17">
        <v>2560</v>
      </c>
      <c r="C20" s="18">
        <v>5057.156028397920</v>
      </c>
    </row>
    <row r="21" ht="20.05" customHeight="1">
      <c r="A21" s="28"/>
      <c r="B21" s="17"/>
      <c r="C21" s="18">
        <f>'Model'!E44</f>
        <v>5765.617318050930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U4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03906" style="37" customWidth="1"/>
    <col min="2" max="9" width="12.3984" style="37" customWidth="1"/>
    <col min="10" max="21" width="11.375" style="39" customWidth="1"/>
    <col min="22" max="16384" width="16.3516" style="39" customWidth="1"/>
  </cols>
  <sheetData>
    <row r="1" ht="27.65" customHeight="1">
      <c r="B1" t="s" s="2">
        <v>51</v>
      </c>
      <c r="C1" s="2"/>
      <c r="D1" s="2"/>
      <c r="E1" s="2"/>
      <c r="F1" s="2"/>
      <c r="G1" s="2"/>
      <c r="H1" s="2"/>
      <c r="I1" s="2"/>
    </row>
    <row r="2" ht="20.25" customHeight="1">
      <c r="B2" t="s" s="5">
        <v>52</v>
      </c>
      <c r="C2" t="s" s="5">
        <v>11</v>
      </c>
      <c r="D2" t="s" s="5">
        <v>14</v>
      </c>
      <c r="E2" t="s" s="5">
        <v>53</v>
      </c>
      <c r="F2" t="s" s="5">
        <v>11</v>
      </c>
      <c r="G2" t="s" s="5">
        <v>14</v>
      </c>
      <c r="H2" t="s" s="5">
        <v>53</v>
      </c>
      <c r="I2" s="4"/>
    </row>
    <row r="3" ht="20.25" customHeight="1">
      <c r="B3" s="24">
        <v>2008</v>
      </c>
      <c r="C3" s="25"/>
      <c r="D3" s="26"/>
      <c r="E3" s="26">
        <f>C3+D3</f>
        <v>0</v>
      </c>
      <c r="F3" s="26">
        <f>C3</f>
        <v>0</v>
      </c>
      <c r="G3" s="26">
        <f>D3</f>
        <v>0</v>
      </c>
      <c r="H3" s="26">
        <f>E3</f>
        <v>0</v>
      </c>
      <c r="I3" s="8"/>
    </row>
    <row r="4" ht="20.05" customHeight="1">
      <c r="B4" s="29">
        <v>2009</v>
      </c>
      <c r="C4" s="17"/>
      <c r="D4" s="18"/>
      <c r="E4" s="18">
        <f>C4+D4</f>
        <v>0</v>
      </c>
      <c r="F4" s="18">
        <f>C4+F3</f>
        <v>0</v>
      </c>
      <c r="G4" s="18">
        <f>D4+G3</f>
        <v>0</v>
      </c>
      <c r="H4" s="18">
        <f>E4+H3</f>
        <v>0</v>
      </c>
      <c r="I4" s="21"/>
    </row>
    <row r="5" ht="20.05" customHeight="1">
      <c r="B5" s="29">
        <f>1+$B4</f>
        <v>2010</v>
      </c>
      <c r="C5" s="17"/>
      <c r="D5" s="18"/>
      <c r="E5" s="18">
        <f>C5+D5</f>
        <v>0</v>
      </c>
      <c r="F5" s="18">
        <f>C5+F4</f>
        <v>0</v>
      </c>
      <c r="G5" s="18">
        <f>D5+G4</f>
        <v>0</v>
      </c>
      <c r="H5" s="18">
        <f>E5+H4</f>
        <v>0</v>
      </c>
      <c r="I5" s="21"/>
    </row>
    <row r="6" ht="20.05" customHeight="1">
      <c r="B6" s="29">
        <f>1+$B5</f>
        <v>2011</v>
      </c>
      <c r="C6" s="17">
        <f>223-D6</f>
        <v>239</v>
      </c>
      <c r="D6" s="18">
        <v>-16</v>
      </c>
      <c r="E6" s="18">
        <f>C6+D6</f>
        <v>223</v>
      </c>
      <c r="F6" s="18">
        <f>C6+F5</f>
        <v>239</v>
      </c>
      <c r="G6" s="18">
        <f>D6+G5</f>
        <v>-16</v>
      </c>
      <c r="H6" s="18">
        <f>E6+H5</f>
        <v>223</v>
      </c>
      <c r="I6" s="21"/>
    </row>
    <row r="7" ht="20.05" customHeight="1">
      <c r="B7" s="29">
        <f>1+$B6</f>
        <v>2012</v>
      </c>
      <c r="C7" s="17">
        <f>341-370-65</f>
        <v>-94</v>
      </c>
      <c r="D7" s="18">
        <v>-41</v>
      </c>
      <c r="E7" s="18">
        <f>C7+D7</f>
        <v>-135</v>
      </c>
      <c r="F7" s="18">
        <f>C7+F6</f>
        <v>145</v>
      </c>
      <c r="G7" s="18">
        <f>D7+G6</f>
        <v>-57</v>
      </c>
      <c r="H7" s="18">
        <f>E7+H6</f>
        <v>88</v>
      </c>
      <c r="I7" s="21"/>
    </row>
    <row r="8" ht="20.05" customHeight="1">
      <c r="B8" s="29">
        <f>1+$B7</f>
        <v>2013</v>
      </c>
      <c r="C8" s="17">
        <f>90-414+500-241</f>
        <v>-65</v>
      </c>
      <c r="D8" s="18">
        <f>-7-19</f>
        <v>-26</v>
      </c>
      <c r="E8" s="18">
        <f>C8+D8</f>
        <v>-91</v>
      </c>
      <c r="F8" s="18">
        <f>C8+F7</f>
        <v>80</v>
      </c>
      <c r="G8" s="18">
        <f>D8+G7</f>
        <v>-83</v>
      </c>
      <c r="H8" s="18">
        <f>E8+H7</f>
        <v>-3</v>
      </c>
      <c r="I8" s="21"/>
    </row>
    <row r="9" ht="20.05" customHeight="1">
      <c r="B9" s="29">
        <f>1+$B8</f>
        <v>2014</v>
      </c>
      <c r="C9" s="17">
        <f>77-90</f>
        <v>-13</v>
      </c>
      <c r="D9" s="18">
        <v>-6</v>
      </c>
      <c r="E9" s="18">
        <f>C9+D9</f>
        <v>-19</v>
      </c>
      <c r="F9" s="18">
        <f>C9+F8</f>
        <v>67</v>
      </c>
      <c r="G9" s="18">
        <f>D9+G8</f>
        <v>-89</v>
      </c>
      <c r="H9" s="18">
        <f>E9+H8</f>
        <v>-22</v>
      </c>
      <c r="I9" s="21"/>
    </row>
    <row r="10" ht="20.05" customHeight="1">
      <c r="B10" s="29">
        <f>1+$B9</f>
        <v>2015</v>
      </c>
      <c r="C10" s="17">
        <f>564-494-77</f>
        <v>-7</v>
      </c>
      <c r="D10" s="18">
        <v>-9</v>
      </c>
      <c r="E10" s="18">
        <f>C10+D10</f>
        <v>-16</v>
      </c>
      <c r="F10" s="18">
        <f>C10+F9</f>
        <v>60</v>
      </c>
      <c r="G10" s="18">
        <f>D10+G9</f>
        <v>-98</v>
      </c>
      <c r="H10" s="18">
        <f>E10+H9</f>
        <v>-38</v>
      </c>
      <c r="I10" s="21"/>
    </row>
    <row r="11" ht="20.05" customHeight="1">
      <c r="B11" s="29">
        <f>1+$B10</f>
        <v>2016</v>
      </c>
      <c r="C11" s="38">
        <f>300-480</f>
        <v>-180</v>
      </c>
      <c r="D11" s="30">
        <v>0</v>
      </c>
      <c r="E11" s="18">
        <f>C11+D11</f>
        <v>-180</v>
      </c>
      <c r="F11" s="18">
        <f>C11+F10</f>
        <v>-120</v>
      </c>
      <c r="G11" s="18">
        <f>D11+G10</f>
        <v>-98</v>
      </c>
      <c r="H11" s="18">
        <f>E11+H10</f>
        <v>-218</v>
      </c>
      <c r="I11" s="21"/>
    </row>
    <row r="12" ht="20.05" customHeight="1">
      <c r="B12" s="29">
        <f>1+$B11</f>
        <v>2017</v>
      </c>
      <c r="C12" s="17">
        <f>130-243+831-171</f>
        <v>547</v>
      </c>
      <c r="D12" s="18">
        <v>0</v>
      </c>
      <c r="E12" s="18">
        <f>C12+D12</f>
        <v>547</v>
      </c>
      <c r="F12" s="18">
        <f>C12+F11</f>
        <v>427</v>
      </c>
      <c r="G12" s="18">
        <f>D12+G11</f>
        <v>-98</v>
      </c>
      <c r="H12" s="18">
        <f>E12+H11</f>
        <v>329</v>
      </c>
      <c r="I12" s="21"/>
    </row>
    <row r="13" ht="20.05" customHeight="1">
      <c r="B13" s="29">
        <f>1+$B12</f>
        <v>2018</v>
      </c>
      <c r="C13" s="17">
        <f>172-211</f>
        <v>-39</v>
      </c>
      <c r="D13" s="18">
        <v>-81</v>
      </c>
      <c r="E13" s="18">
        <f>C13+D13</f>
        <v>-120</v>
      </c>
      <c r="F13" s="18">
        <f>C13+F12</f>
        <v>388</v>
      </c>
      <c r="G13" s="18">
        <f>D13+G12</f>
        <v>-179</v>
      </c>
      <c r="H13" s="18">
        <f>E13+H12</f>
        <v>209</v>
      </c>
      <c r="I13" s="21"/>
    </row>
    <row r="14" ht="20.05" customHeight="1">
      <c r="B14" s="29">
        <f>1+$B13</f>
        <v>2019</v>
      </c>
      <c r="C14" s="17">
        <f>335-220-120</f>
        <v>-5</v>
      </c>
      <c r="D14" s="18">
        <v>-56</v>
      </c>
      <c r="E14" s="18">
        <f>C14+D14</f>
        <v>-61</v>
      </c>
      <c r="F14" s="18">
        <f>C14+F13</f>
        <v>383</v>
      </c>
      <c r="G14" s="18">
        <f>D14+G13</f>
        <v>-235</v>
      </c>
      <c r="H14" s="18">
        <f>E14+H13</f>
        <v>148</v>
      </c>
      <c r="I14" s="21"/>
    </row>
    <row r="15" ht="20.05" customHeight="1">
      <c r="B15" s="29">
        <f>1+$B14</f>
        <v>2020</v>
      </c>
      <c r="C15" s="17">
        <f>SUM('Cashflow '!F20:F23)</f>
        <v>118.1</v>
      </c>
      <c r="D15" s="18">
        <f>SUM('Cashflow '!G20:G23)</f>
        <v>-46</v>
      </c>
      <c r="E15" s="18">
        <f>C15+D15</f>
        <v>72.09999999999999</v>
      </c>
      <c r="F15" s="18">
        <f>C15+F14</f>
        <v>501.1</v>
      </c>
      <c r="G15" s="18">
        <f>D15+G14</f>
        <v>-281</v>
      </c>
      <c r="H15" s="18">
        <f>E15+H14</f>
        <v>220.1</v>
      </c>
      <c r="I15" s="21"/>
    </row>
    <row r="16" ht="20.05" customHeight="1">
      <c r="B16" s="29">
        <f>1+$B15</f>
        <v>2021</v>
      </c>
      <c r="C16" s="17">
        <f>SUM('Cashflow '!F24:F27)</f>
        <v>-103.5</v>
      </c>
      <c r="D16" s="18">
        <f>SUM('Cashflow '!G24:G27)</f>
        <v>-24.9</v>
      </c>
      <c r="E16" s="18">
        <f>C16+D16</f>
        <v>-128.4</v>
      </c>
      <c r="F16" s="18">
        <f>C16+F15</f>
        <v>397.6</v>
      </c>
      <c r="G16" s="18">
        <f>D16+G15</f>
        <v>-305.9</v>
      </c>
      <c r="H16" s="18">
        <f>E16+H15</f>
        <v>91.7</v>
      </c>
      <c r="I16" s="21"/>
    </row>
    <row r="18" ht="27.65" customHeight="1">
      <c r="J18" t="s" s="2">
        <v>54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20.25" customHeight="1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20.25" customHeight="1">
      <c r="J20" s="40"/>
      <c r="K20" t="s" s="41">
        <v>55</v>
      </c>
      <c r="L20" s="42">
        <v>13318886522880</v>
      </c>
      <c r="M20" s="8"/>
      <c r="N20" s="8"/>
      <c r="O20" s="8"/>
      <c r="P20" s="8"/>
      <c r="Q20" s="8"/>
      <c r="R20" s="8"/>
      <c r="S20" s="8"/>
      <c r="T20" s="8"/>
      <c r="U20" s="8"/>
    </row>
    <row r="21" ht="44.05" customHeight="1">
      <c r="J21" s="28"/>
      <c r="K21" t="s" s="43">
        <v>50</v>
      </c>
      <c r="L21" t="s" s="44">
        <v>56</v>
      </c>
      <c r="M21" s="16">
        <f>S40</f>
        <v>-0.0623588164501012</v>
      </c>
      <c r="N21" t="s" s="44">
        <f>T40</f>
        <v>57</v>
      </c>
      <c r="O21" t="s" s="44">
        <f>U40</f>
        <v>58</v>
      </c>
      <c r="P21" s="21"/>
      <c r="Q21" s="21"/>
      <c r="R21" s="21"/>
      <c r="S21" s="21"/>
      <c r="T21" s="21"/>
      <c r="U21" s="21"/>
    </row>
    <row r="22" ht="20.05" customHeight="1">
      <c r="J22" s="28"/>
      <c r="K22" s="45">
        <v>44657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ht="20.05" customHeight="1">
      <c r="J23" s="28"/>
      <c r="K23" t="s" s="43">
        <v>59</v>
      </c>
      <c r="L23" s="30">
        <f>$B7</f>
        <v>2012</v>
      </c>
      <c r="M23" s="21"/>
      <c r="N23" s="21"/>
      <c r="O23" s="21"/>
      <c r="P23" s="21"/>
      <c r="Q23" s="21"/>
      <c r="R23" s="21"/>
      <c r="S23" s="21"/>
      <c r="T23" s="21"/>
      <c r="U23" s="21"/>
    </row>
    <row r="24" ht="32.05" customHeight="1">
      <c r="J24" s="28"/>
      <c r="K24" t="s" s="43">
        <v>60</v>
      </c>
      <c r="L24" s="30">
        <f>(2022-L23)*4</f>
        <v>40</v>
      </c>
      <c r="M24" s="21"/>
      <c r="N24" s="21"/>
      <c r="O24" s="21"/>
      <c r="P24" s="21"/>
      <c r="Q24" s="21"/>
      <c r="R24" s="21"/>
      <c r="S24" s="21"/>
      <c r="T24" s="21"/>
      <c r="U24" s="21"/>
    </row>
    <row r="25" ht="32.05" customHeight="1">
      <c r="J25" s="28"/>
      <c r="K25" t="s" s="43">
        <v>61</v>
      </c>
      <c r="L25" s="18">
        <f>(L20/1000000000)/14</f>
        <v>951.349037348571</v>
      </c>
      <c r="M25" s="21"/>
      <c r="N25" s="21"/>
      <c r="O25" s="21"/>
      <c r="P25" s="21"/>
      <c r="Q25" s="21"/>
      <c r="R25" s="21"/>
      <c r="S25" s="21"/>
      <c r="T25" s="21"/>
      <c r="U25" s="21"/>
    </row>
    <row r="26" ht="32.05" customHeight="1">
      <c r="J26" s="28"/>
      <c r="K26" t="s" s="43">
        <v>11</v>
      </c>
      <c r="L26" s="18">
        <f>Q30</f>
        <v>397.6</v>
      </c>
      <c r="M26" t="s" s="44">
        <f>Q27</f>
        <v>62</v>
      </c>
      <c r="N26" t="s" s="44">
        <f>IF(L26&gt;0,"raised","paid")</f>
        <v>63</v>
      </c>
      <c r="O26" s="21"/>
      <c r="P26" s="21"/>
      <c r="Q26" s="21"/>
      <c r="R26" s="21"/>
      <c r="S26" s="21"/>
      <c r="T26" s="21"/>
      <c r="U26" s="21"/>
    </row>
    <row r="27" ht="32.05" customHeight="1">
      <c r="J27" s="28"/>
      <c r="K27" t="s" s="43">
        <f>K21</f>
        <v>50</v>
      </c>
      <c r="L27" t="s" s="44">
        <v>64</v>
      </c>
      <c r="M27" t="s" s="44">
        <f>IF(P27&gt;0,"raised","paid")</f>
        <v>63</v>
      </c>
      <c r="N27" t="s" s="44">
        <v>65</v>
      </c>
      <c r="O27" t="s" s="44">
        <v>66</v>
      </c>
      <c r="P27" s="18">
        <f>AVERAGE(C6:C16)</f>
        <v>36.1454545454545</v>
      </c>
      <c r="Q27" t="s" s="44">
        <v>62</v>
      </c>
      <c r="R27" t="s" s="44">
        <v>67</v>
      </c>
      <c r="S27" s="16">
        <f>P27/L25</f>
        <v>0.0379938940666746</v>
      </c>
      <c r="T27" t="s" s="44">
        <v>57</v>
      </c>
      <c r="U27" s="21"/>
    </row>
    <row r="28" ht="32.05" customHeight="1">
      <c r="J28" s="28"/>
      <c r="K28" t="s" s="43">
        <v>68</v>
      </c>
      <c r="L28" t="s" s="44">
        <f>N27</f>
        <v>65</v>
      </c>
      <c r="M28" t="s" s="44">
        <v>69</v>
      </c>
      <c r="N28" t="s" s="44">
        <f>IF(P28&gt;0,"raised","paid")</f>
        <v>63</v>
      </c>
      <c r="O28" t="s" s="44">
        <v>66</v>
      </c>
      <c r="P28" s="18">
        <f>AVERAGE(C12:C16)</f>
        <v>103.52</v>
      </c>
      <c r="Q28" t="s" s="44">
        <f>Q27</f>
        <v>62</v>
      </c>
      <c r="R28" t="s" s="44">
        <v>67</v>
      </c>
      <c r="S28" s="16">
        <f>P28/L25</f>
        <v>0.108813901035221</v>
      </c>
      <c r="T28" t="s" s="44">
        <v>57</v>
      </c>
      <c r="U28" s="21"/>
    </row>
    <row r="29" ht="44.05" customHeight="1">
      <c r="J29" s="28"/>
      <c r="K29" t="s" s="43">
        <v>70</v>
      </c>
      <c r="L29" t="s" s="44">
        <v>71</v>
      </c>
      <c r="M29" s="18">
        <f>MAX(F6:F16)</f>
        <v>501.1</v>
      </c>
      <c r="N29" t="s" s="44">
        <f>Q28</f>
        <v>62</v>
      </c>
      <c r="O29" t="s" s="44">
        <v>72</v>
      </c>
      <c r="P29" s="30">
        <f>$B15</f>
        <v>2020</v>
      </c>
      <c r="Q29" s="21"/>
      <c r="R29" s="21"/>
      <c r="S29" s="21"/>
      <c r="T29" s="21"/>
      <c r="U29" s="21"/>
    </row>
    <row r="30" ht="32.05" customHeight="1">
      <c r="J30" s="28"/>
      <c r="K30" t="s" s="43">
        <v>73</v>
      </c>
      <c r="L30" t="s" s="44">
        <f>L28</f>
        <v>65</v>
      </c>
      <c r="M30" t="s" s="44">
        <v>74</v>
      </c>
      <c r="N30" t="s" s="44">
        <v>75</v>
      </c>
      <c r="O30" t="s" s="44">
        <f>IF(Q30&lt;M29,"down","up")</f>
        <v>76</v>
      </c>
      <c r="P30" t="s" s="44">
        <v>77</v>
      </c>
      <c r="Q30" s="18">
        <f>F16</f>
        <v>397.6</v>
      </c>
      <c r="R30" t="s" s="44">
        <f>Q28</f>
        <v>62</v>
      </c>
      <c r="S30" s="21"/>
      <c r="T30" s="21"/>
      <c r="U30" s="21"/>
    </row>
    <row r="31" ht="32.05" customHeight="1">
      <c r="J31" s="28"/>
      <c r="K31" t="s" s="43">
        <v>14</v>
      </c>
      <c r="L31" s="18">
        <f>Q35</f>
        <v>-305.9</v>
      </c>
      <c r="M31" t="s" s="44">
        <f>R30</f>
        <v>62</v>
      </c>
      <c r="N31" t="s" s="44">
        <f>IF(L31&gt;0,"raised","paid")</f>
        <v>78</v>
      </c>
      <c r="O31" s="21"/>
      <c r="P31" s="21"/>
      <c r="Q31" s="21"/>
      <c r="R31" s="21"/>
      <c r="S31" s="21"/>
      <c r="T31" s="21"/>
      <c r="U31" s="21"/>
    </row>
    <row r="32" ht="32.05" customHeight="1">
      <c r="J32" s="28"/>
      <c r="K32" t="s" s="43">
        <f>K27</f>
        <v>50</v>
      </c>
      <c r="L32" t="s" s="44">
        <v>64</v>
      </c>
      <c r="M32" t="s" s="44">
        <f>IF(P32&gt;0,"raised","paid")</f>
        <v>78</v>
      </c>
      <c r="N32" t="s" s="44">
        <v>79</v>
      </c>
      <c r="O32" t="s" s="44">
        <f>O27</f>
        <v>66</v>
      </c>
      <c r="P32" s="18">
        <f>AVERAGE(D6:D16)</f>
        <v>-27.8090909090909</v>
      </c>
      <c r="Q32" t="s" s="44">
        <f>Q27</f>
        <v>62</v>
      </c>
      <c r="R32" t="s" s="44">
        <f>R27</f>
        <v>67</v>
      </c>
      <c r="S32" s="16">
        <f>P32/L25</f>
        <v>-0.029231217794255</v>
      </c>
      <c r="T32" t="s" s="44">
        <f>T27</f>
        <v>57</v>
      </c>
      <c r="U32" s="21"/>
    </row>
    <row r="33" ht="32.05" customHeight="1">
      <c r="J33" s="28"/>
      <c r="K33" t="s" s="43">
        <v>68</v>
      </c>
      <c r="L33" t="s" s="44">
        <f>N32</f>
        <v>79</v>
      </c>
      <c r="M33" t="s" s="44">
        <v>80</v>
      </c>
      <c r="N33" t="s" s="44">
        <f>IF(P33&gt;0,"raised","paid")</f>
        <v>78</v>
      </c>
      <c r="O33" t="s" s="44">
        <v>66</v>
      </c>
      <c r="P33" s="18">
        <f>AVERAGE(D12:D16)</f>
        <v>-41.58</v>
      </c>
      <c r="Q33" t="s" s="44">
        <f>Q32</f>
        <v>62</v>
      </c>
      <c r="R33" t="s" s="44">
        <v>67</v>
      </c>
      <c r="S33" s="16">
        <f>P33/L25</f>
        <v>-0.0437063563083895</v>
      </c>
      <c r="T33" t="s" s="44">
        <f>T28</f>
        <v>57</v>
      </c>
      <c r="U33" s="21"/>
    </row>
    <row r="34" ht="44.05" customHeight="1">
      <c r="J34" s="28"/>
      <c r="K34" t="s" s="43">
        <v>81</v>
      </c>
      <c r="L34" t="s" s="44">
        <v>71</v>
      </c>
      <c r="M34" s="18">
        <f>MAX(G6:G16)</f>
        <v>-16</v>
      </c>
      <c r="N34" t="s" s="44">
        <f>Q33</f>
        <v>62</v>
      </c>
      <c r="O34" t="s" s="44">
        <v>72</v>
      </c>
      <c r="P34" s="30">
        <f>$B6</f>
        <v>2011</v>
      </c>
      <c r="Q34" s="21"/>
      <c r="R34" s="21"/>
      <c r="S34" s="21"/>
      <c r="T34" s="21"/>
      <c r="U34" s="21"/>
    </row>
    <row r="35" ht="32.05" customHeight="1">
      <c r="J35" s="28"/>
      <c r="K35" t="s" s="43">
        <v>73</v>
      </c>
      <c r="L35" t="s" s="44">
        <f>L33</f>
        <v>79</v>
      </c>
      <c r="M35" t="s" s="44">
        <v>74</v>
      </c>
      <c r="N35" t="s" s="44">
        <v>82</v>
      </c>
      <c r="O35" t="s" s="44">
        <f>IF(Q35&lt;M34,"down","up")</f>
        <v>76</v>
      </c>
      <c r="P35" t="s" s="44">
        <v>77</v>
      </c>
      <c r="Q35" s="18">
        <f>G16</f>
        <v>-305.9</v>
      </c>
      <c r="R35" t="s" s="44">
        <f>Q33</f>
        <v>62</v>
      </c>
      <c r="S35" s="21"/>
      <c r="T35" s="21"/>
      <c r="U35" s="21"/>
    </row>
    <row r="36" ht="32.05" customHeight="1">
      <c r="J36" s="28"/>
      <c r="K36" t="s" s="43">
        <v>83</v>
      </c>
      <c r="L36" s="18">
        <f>Q40</f>
        <v>91.7</v>
      </c>
      <c r="M36" t="s" s="44">
        <f>R35</f>
        <v>62</v>
      </c>
      <c r="N36" t="s" s="44">
        <f>IF(L36&gt;0,"raised","paid")</f>
        <v>63</v>
      </c>
      <c r="O36" s="21"/>
      <c r="P36" s="21"/>
      <c r="Q36" s="21"/>
      <c r="R36" s="21"/>
      <c r="S36" s="21"/>
      <c r="T36" s="21"/>
      <c r="U36" s="21"/>
    </row>
    <row r="37" ht="32.05" customHeight="1">
      <c r="J37" s="28"/>
      <c r="K37" t="s" s="43">
        <f>K32</f>
        <v>50</v>
      </c>
      <c r="L37" t="s" s="44">
        <v>64</v>
      </c>
      <c r="M37" t="s" s="44">
        <f>IF(P37&gt;0,"raised","paid")</f>
        <v>63</v>
      </c>
      <c r="N37" t="s" s="44">
        <v>84</v>
      </c>
      <c r="O37" t="s" s="44">
        <f>O32</f>
        <v>66</v>
      </c>
      <c r="P37" s="18">
        <f>AVERAGE(E6:E16)</f>
        <v>8.33636363636364</v>
      </c>
      <c r="Q37" t="s" s="44">
        <f>Q32</f>
        <v>62</v>
      </c>
      <c r="R37" t="s" s="44">
        <f>R32</f>
        <v>67</v>
      </c>
      <c r="S37" s="16">
        <f>P37/L25</f>
        <v>0.00876267627241969</v>
      </c>
      <c r="T37" t="s" s="44">
        <f>T32</f>
        <v>57</v>
      </c>
      <c r="U37" s="21"/>
    </row>
    <row r="38" ht="32.05" customHeight="1">
      <c r="J38" s="28"/>
      <c r="K38" t="s" s="43">
        <v>68</v>
      </c>
      <c r="L38" t="s" s="44">
        <f>N37</f>
        <v>84</v>
      </c>
      <c r="M38" t="s" s="44">
        <v>80</v>
      </c>
      <c r="N38" t="s" s="44">
        <f>IF(P38&gt;0,"raised","paid")</f>
        <v>63</v>
      </c>
      <c r="O38" t="s" s="44">
        <v>66</v>
      </c>
      <c r="P38" s="18">
        <f>AVERAGE(E12:E16)</f>
        <v>61.94</v>
      </c>
      <c r="Q38" t="s" s="44">
        <f>Q37</f>
        <v>62</v>
      </c>
      <c r="R38" t="s" s="44">
        <v>67</v>
      </c>
      <c r="S38" s="16">
        <f>P38/L25</f>
        <v>0.06510754472683131</v>
      </c>
      <c r="T38" t="s" s="44">
        <f>T33</f>
        <v>57</v>
      </c>
      <c r="U38" s="21"/>
    </row>
    <row r="39" ht="44.05" customHeight="1">
      <c r="J39" s="28"/>
      <c r="K39" t="s" s="43">
        <v>85</v>
      </c>
      <c r="L39" t="s" s="44">
        <v>71</v>
      </c>
      <c r="M39" s="18">
        <f>MAX(H6:H16)</f>
        <v>329</v>
      </c>
      <c r="N39" t="s" s="44">
        <f>Q38</f>
        <v>62</v>
      </c>
      <c r="O39" t="s" s="44">
        <v>72</v>
      </c>
      <c r="P39" s="30">
        <f>$B12</f>
        <v>2017</v>
      </c>
      <c r="Q39" s="21"/>
      <c r="R39" s="21"/>
      <c r="S39" s="21"/>
      <c r="T39" s="21"/>
      <c r="U39" s="21"/>
    </row>
    <row r="40" ht="44.05" customHeight="1">
      <c r="J40" s="28"/>
      <c r="K40" t="s" s="43">
        <v>73</v>
      </c>
      <c r="L40" t="s" s="44">
        <f>L38</f>
        <v>84</v>
      </c>
      <c r="M40" t="s" s="44">
        <v>74</v>
      </c>
      <c r="N40" t="s" s="44">
        <v>82</v>
      </c>
      <c r="O40" t="s" s="44">
        <f>IF(Q40&lt;M39,"down","up")</f>
        <v>76</v>
      </c>
      <c r="P40" t="s" s="44">
        <v>77</v>
      </c>
      <c r="Q40" s="30">
        <f>H16</f>
        <v>91.7</v>
      </c>
      <c r="R40" t="s" s="44">
        <f>Q38</f>
        <v>62</v>
      </c>
      <c r="S40" s="16">
        <f>AVERAGE(E13:E16)/L25</f>
        <v>-0.0623588164501012</v>
      </c>
      <c r="T40" t="s" s="44">
        <f>T38</f>
        <v>57</v>
      </c>
      <c r="U40" t="s" s="44">
        <v>58</v>
      </c>
    </row>
  </sheetData>
  <mergeCells count="2">
    <mergeCell ref="B1:I1"/>
    <mergeCell ref="J18:U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