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<sst xmlns="http://schemas.openxmlformats.org/spreadsheetml/2006/main" uniqueCount="59">
  <si>
    <t>Financial model</t>
  </si>
  <si>
    <t>$m</t>
  </si>
  <si>
    <t>4Q 2021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</si>
  <si>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</si>
  <si>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</si>
  <si>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</si>
  <si>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</si>
  <si>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</si>
  <si>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</si>
  <si>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</si>
  <si>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</si>
  <si>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</si>
  <si>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</si>
  <si>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</si>
  <si>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</si>
  <si>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</si>
  <si>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</si>
  <si>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</si>
  <si>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</si>
  <si>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</si>
  <si>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</si>
  <si>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</si>
  <si>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</si>
  <si>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</si>
  <si>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</si>
  <si>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</si>
  <si>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</si>
  <si>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</si>
  <si>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</si>
  <si>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</si>
  <si>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 xml:space="preserve">P/sales </t>
  </si>
  <si>
    <t>P/assets</t>
  </si>
  <si>
    <t xml:space="preserve">Yield 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</si>
  <si>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</si>
  <si>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</si>
  <si>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</si>
  <si>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</si>
  <si>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</si>
  <si>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</si>
  <si>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</si>
  <si>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</si>
  <si>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</si>
  <si>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</si>
  <si>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>Profit</t>
  </si>
  <si>
    <t>Non cash costs</t>
  </si>
  <si>
    <t xml:space="preserve">Sales growth </t>
  </si>
  <si>
    <t>Cashflow costs</t>
  </si>
  <si>
    <t>Receipts</t>
  </si>
  <si>
    <t>Capex</t>
  </si>
  <si>
    <t xml:space="preserve">Investment </t>
  </si>
  <si>
    <t xml:space="preserve">Interest </t>
  </si>
  <si>
    <t xml:space="preserve">Finance </t>
  </si>
  <si>
    <t xml:space="preserve">Free cashflow </t>
  </si>
  <si>
    <t>Cash</t>
  </si>
  <si>
    <t>Assets</t>
  </si>
  <si>
    <t xml:space="preserve">Lease liabilities </t>
  </si>
  <si>
    <t>Check</t>
  </si>
  <si>
    <t>Share price</t>
  </si>
  <si>
    <t>INDR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</si>
</sst>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3" borderId="3" applyNumberFormat="1" applyFont="1" applyFill="0" applyBorder="1" applyAlignment="1" applyProtection="0">
      <alignment horizontal="right" vertical="center" wrapText="1" readingOrder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3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799568</xdr:colOff>
      <xdr:row>1</xdr:row>
      <xdr:rowOff>164199</xdr:rowOff>
    </xdr:from>
    <xdr:to>
      <xdr:col>13</xdr:col>
      <xdr:colOff>1034704</xdr:colOff>
      <xdr:row>48</xdr:row>
      <xdr:rowOff>56434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47668" y="316599"/>
          <a:ext cx="8947337" cy="119616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4.7656" style="1" customWidth="1"/>
    <col min="3" max="6" width="8.54688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AVERAGE('Sales'!G22:G25)</f>
        <v>0.11240309984442</v>
      </c>
      <c r="D4" s="8"/>
      <c r="E4" s="8"/>
      <c r="F4" s="9">
        <f>AVERAGE(C5:F5)</f>
        <v>0.06</v>
      </c>
    </row>
    <row r="5" ht="20.05" customHeight="1">
      <c r="B5" t="s" s="10">
        <v>4</v>
      </c>
      <c r="C5" s="11">
        <v>0.12</v>
      </c>
      <c r="D5" s="12">
        <v>-0.07000000000000001</v>
      </c>
      <c r="E5" s="12">
        <v>0.12</v>
      </c>
      <c r="F5" s="12">
        <v>0.07000000000000001</v>
      </c>
    </row>
    <row r="6" ht="20.05" customHeight="1">
      <c r="B6" t="s" s="10">
        <v>5</v>
      </c>
      <c r="C6" s="13">
        <f>'Sales'!C25*(1+C5)</f>
        <v>254.464</v>
      </c>
      <c r="D6" s="14">
        <f>C6*(1+D5)</f>
        <v>236.65152</v>
      </c>
      <c r="E6" s="14">
        <f>D6*(1+E5)</f>
        <v>265.0497024</v>
      </c>
      <c r="F6" s="14">
        <f>E6*(1+F5)</f>
        <v>283.603181568</v>
      </c>
    </row>
    <row r="7" ht="20.05" customHeight="1">
      <c r="B7" t="s" s="10">
        <v>6</v>
      </c>
      <c r="C7" s="11">
        <f>AVERAGE('Sales'!I25)</f>
        <v>-0.854993619333844</v>
      </c>
      <c r="D7" s="12">
        <f>C7</f>
        <v>-0.854993619333844</v>
      </c>
      <c r="E7" s="12">
        <f>D7</f>
        <v>-0.854993619333844</v>
      </c>
      <c r="F7" s="12">
        <f>E7</f>
        <v>-0.854993619333844</v>
      </c>
    </row>
    <row r="8" ht="20.05" customHeight="1">
      <c r="B8" t="s" s="10">
        <v>7</v>
      </c>
      <c r="C8" s="15">
        <f>C6*C7</f>
        <v>-217.565096350167</v>
      </c>
      <c r="D8" s="16">
        <f>D6*D7</f>
        <v>-202.335539605656</v>
      </c>
      <c r="E8" s="16">
        <f>E6*E7</f>
        <v>-226.615804358334</v>
      </c>
      <c r="F8" s="16">
        <f>F6*F7</f>
        <v>-242.478910663418</v>
      </c>
    </row>
    <row r="9" ht="20.05" customHeight="1">
      <c r="B9" t="s" s="10">
        <v>8</v>
      </c>
      <c r="C9" s="15">
        <f>C6+C8</f>
        <v>36.898903649833</v>
      </c>
      <c r="D9" s="16">
        <f>D6+D8</f>
        <v>34.315980394344</v>
      </c>
      <c r="E9" s="16">
        <f>E6+E8</f>
        <v>38.433898041666</v>
      </c>
      <c r="F9" s="16">
        <f>F6+F8</f>
        <v>41.124270904582</v>
      </c>
    </row>
    <row r="10" ht="20.05" customHeight="1">
      <c r="B10" t="s" s="10">
        <v>9</v>
      </c>
      <c r="C10" s="15">
        <f>AVERAGE('Cashflow '!E26)</f>
        <v>-9.5</v>
      </c>
      <c r="D10" s="16">
        <f>C10</f>
        <v>-9.5</v>
      </c>
      <c r="E10" s="16">
        <f>D10</f>
        <v>-9.5</v>
      </c>
      <c r="F10" s="16">
        <f>E10</f>
        <v>-9.5</v>
      </c>
    </row>
    <row r="11" ht="20.05" customHeight="1">
      <c r="B11" t="s" s="10">
        <v>10</v>
      </c>
      <c r="C11" s="15">
        <f>C12+C13+C15</f>
        <v>-26.4297807299666</v>
      </c>
      <c r="D11" s="16">
        <f>D12+D13+D15</f>
        <v>-24.815980394344</v>
      </c>
      <c r="E11" s="16">
        <f>E12+E13+E15</f>
        <v>-24.788120292858</v>
      </c>
      <c r="F11" s="16">
        <f>F12+F13+F15</f>
        <v>-24.3296479309164</v>
      </c>
    </row>
    <row r="12" ht="20.05" customHeight="1">
      <c r="B12" t="s" s="10">
        <v>11</v>
      </c>
      <c r="C12" s="15">
        <f>-'Balance sheet'!H26/20</f>
        <v>-20.65</v>
      </c>
      <c r="D12" s="16">
        <f>-C26/20</f>
        <v>-19.6175</v>
      </c>
      <c r="E12" s="16">
        <f>-D26/20</f>
        <v>-18.636625</v>
      </c>
      <c r="F12" s="16">
        <f>-E26/20</f>
        <v>-17.70479375</v>
      </c>
    </row>
    <row r="13" ht="20.05" customHeight="1">
      <c r="B13" t="s" s="10">
        <v>12</v>
      </c>
      <c r="C13" s="15">
        <f>IF(C21&gt;0,-C21*0.2,0)</f>
        <v>-5.7797807299666</v>
      </c>
      <c r="D13" s="16">
        <f>IF(D21&gt;0,-D21*0.2,0)</f>
        <v>-5.2631960788688</v>
      </c>
      <c r="E13" s="16">
        <f>IF(E21&gt;0,-E21*0.2,0)</f>
        <v>-6.0867796083332</v>
      </c>
      <c r="F13" s="16">
        <f>IF(F21&gt;0,-F21*0.2,0)</f>
        <v>-6.6248541809164</v>
      </c>
    </row>
    <row r="14" ht="20.05" customHeight="1">
      <c r="B14" t="s" s="10">
        <v>13</v>
      </c>
      <c r="C14" s="15">
        <f>C9+C10+C12+C13</f>
        <v>0.9691229198664</v>
      </c>
      <c r="D14" s="16">
        <f>D9+D10+D12+D13</f>
        <v>-0.0647156845248</v>
      </c>
      <c r="E14" s="16">
        <f>E9+E10+E12+E13</f>
        <v>4.2104934333328</v>
      </c>
      <c r="F14" s="16">
        <f>F9+F10+F12+F13</f>
        <v>7.2946229736656</v>
      </c>
    </row>
    <row r="15" ht="20.05" customHeight="1">
      <c r="B15" t="s" s="10">
        <v>14</v>
      </c>
      <c r="C15" s="15">
        <f>-MIN(0,C14)</f>
        <v>0</v>
      </c>
      <c r="D15" s="16">
        <f>-MIN(C27,D14)</f>
        <v>0.0647156845248</v>
      </c>
      <c r="E15" s="16">
        <f>-MIN(D27,E14)</f>
        <v>-0.0647156845248</v>
      </c>
      <c r="F15" s="16">
        <f>-MIN(E27,F14)</f>
        <v>0</v>
      </c>
    </row>
    <row r="16" ht="20.05" customHeight="1">
      <c r="B16" t="s" s="10">
        <v>15</v>
      </c>
      <c r="C16" s="15">
        <f>'Balance sheet'!C26</f>
        <v>44</v>
      </c>
      <c r="D16" s="16">
        <f>C18</f>
        <v>44.9691229198664</v>
      </c>
      <c r="E16" s="16">
        <f>D18</f>
        <v>44.9691229198664</v>
      </c>
      <c r="F16" s="16">
        <f>E18</f>
        <v>49.1149006686744</v>
      </c>
    </row>
    <row r="17" ht="20.05" customHeight="1">
      <c r="B17" t="s" s="10">
        <v>16</v>
      </c>
      <c r="C17" s="15">
        <f>C9+C10+C11</f>
        <v>0.9691229198664</v>
      </c>
      <c r="D17" s="16">
        <f>D9+D10+D11</f>
        <v>0</v>
      </c>
      <c r="E17" s="16">
        <f>E9+E10+E11</f>
        <v>4.145777748808</v>
      </c>
      <c r="F17" s="16">
        <f>F9+F10+F11</f>
        <v>7.2946229736656</v>
      </c>
    </row>
    <row r="18" ht="20.05" customHeight="1">
      <c r="B18" t="s" s="10">
        <v>17</v>
      </c>
      <c r="C18" s="15">
        <f>C16+C17</f>
        <v>44.9691229198664</v>
      </c>
      <c r="D18" s="16">
        <f>D16+D17</f>
        <v>44.9691229198664</v>
      </c>
      <c r="E18" s="16">
        <f>E16+E17</f>
        <v>49.1149006686744</v>
      </c>
      <c r="F18" s="16">
        <f>F16+F17</f>
        <v>56.409523642340</v>
      </c>
    </row>
    <row r="19" ht="20.05" customHeight="1">
      <c r="B19" t="s" s="17">
        <v>18</v>
      </c>
      <c r="C19" s="15"/>
      <c r="D19" s="16"/>
      <c r="E19" s="16"/>
      <c r="F19" s="18"/>
    </row>
    <row r="20" ht="20.05" customHeight="1">
      <c r="B20" t="s" s="10">
        <v>19</v>
      </c>
      <c r="C20" s="15">
        <f>-AVERAGE('Sales'!E25)</f>
        <v>-8</v>
      </c>
      <c r="D20" s="16">
        <f>C20</f>
        <v>-8</v>
      </c>
      <c r="E20" s="16">
        <f>D20</f>
        <v>-8</v>
      </c>
      <c r="F20" s="16">
        <f>E20</f>
        <v>-8</v>
      </c>
    </row>
    <row r="21" ht="20.05" customHeight="1">
      <c r="B21" t="s" s="10">
        <v>18</v>
      </c>
      <c r="C21" s="15">
        <f>C6+C8+C20</f>
        <v>28.898903649833</v>
      </c>
      <c r="D21" s="16">
        <f>D6+D8+D20</f>
        <v>26.315980394344</v>
      </c>
      <c r="E21" s="16">
        <f>E6+E8+E20</f>
        <v>30.433898041666</v>
      </c>
      <c r="F21" s="16">
        <f>F6+F8+F20</f>
        <v>33.124270904582</v>
      </c>
    </row>
    <row r="22" ht="20.05" customHeight="1">
      <c r="B22" t="s" s="17">
        <v>20</v>
      </c>
      <c r="C22" s="15"/>
      <c r="D22" s="16"/>
      <c r="E22" s="19"/>
      <c r="F22" s="16"/>
    </row>
    <row r="23" ht="20.05" customHeight="1">
      <c r="B23" t="s" s="10">
        <v>21</v>
      </c>
      <c r="C23" s="15">
        <f>'Balance sheet'!E26+'Balance sheet'!F26-C10</f>
        <v>1505.5</v>
      </c>
      <c r="D23" s="16">
        <f>C23-D10</f>
        <v>1515</v>
      </c>
      <c r="E23" s="16">
        <f>D23-E10</f>
        <v>1524.5</v>
      </c>
      <c r="F23" s="16">
        <f>E23-F10</f>
        <v>1534</v>
      </c>
    </row>
    <row r="24" ht="20.05" customHeight="1">
      <c r="B24" t="s" s="10">
        <v>22</v>
      </c>
      <c r="C24" s="15">
        <f>'Balance sheet'!F26-C20</f>
        <v>701</v>
      </c>
      <c r="D24" s="16">
        <f>C24-D20</f>
        <v>709</v>
      </c>
      <c r="E24" s="16">
        <f>D24-E20</f>
        <v>717</v>
      </c>
      <c r="F24" s="16">
        <f>E24-F20</f>
        <v>725</v>
      </c>
    </row>
    <row r="25" ht="20.05" customHeight="1">
      <c r="B25" t="s" s="10">
        <v>23</v>
      </c>
      <c r="C25" s="15">
        <f>C23-C24</f>
        <v>804.5</v>
      </c>
      <c r="D25" s="16">
        <f>D23-D24</f>
        <v>806</v>
      </c>
      <c r="E25" s="16">
        <f>E23-E24</f>
        <v>807.5</v>
      </c>
      <c r="F25" s="16">
        <f>F23-F24</f>
        <v>809</v>
      </c>
    </row>
    <row r="26" ht="20.05" customHeight="1">
      <c r="B26" t="s" s="10">
        <v>11</v>
      </c>
      <c r="C26" s="15">
        <f>'Balance sheet'!H26+C12</f>
        <v>392.35</v>
      </c>
      <c r="D26" s="16">
        <f>C26+D12</f>
        <v>372.7325</v>
      </c>
      <c r="E26" s="16">
        <f>D26+E12</f>
        <v>354.095875</v>
      </c>
      <c r="F26" s="16">
        <f>E26+F12</f>
        <v>336.39108125</v>
      </c>
    </row>
    <row r="27" ht="20.05" customHeight="1">
      <c r="B27" t="s" s="10">
        <v>14</v>
      </c>
      <c r="C27" s="15">
        <f>C15</f>
        <v>0</v>
      </c>
      <c r="D27" s="16">
        <f>C27+D15</f>
        <v>0.0647156845248</v>
      </c>
      <c r="E27" s="16">
        <f>D27+E15</f>
        <v>0</v>
      </c>
      <c r="F27" s="16">
        <f>E27+F15</f>
        <v>0</v>
      </c>
    </row>
    <row r="28" ht="20.05" customHeight="1">
      <c r="B28" t="s" s="10">
        <v>12</v>
      </c>
      <c r="C28" s="15">
        <f>'Balance sheet'!I26+C21+C13</f>
        <v>457.119122919866</v>
      </c>
      <c r="D28" s="16">
        <f>C28+D21+D13</f>
        <v>478.171907235341</v>
      </c>
      <c r="E28" s="16">
        <f>D28+E21+E13</f>
        <v>502.519025668674</v>
      </c>
      <c r="F28" s="16">
        <f>E28+F21+F13</f>
        <v>529.018442392340</v>
      </c>
    </row>
    <row r="29" ht="20.05" customHeight="1">
      <c r="B29" t="s" s="10">
        <v>24</v>
      </c>
      <c r="C29" s="15">
        <f>C26+C27+C28-C18-C25</f>
        <v>-4e-13</v>
      </c>
      <c r="D29" s="16">
        <f>D26+D27+D28-D18-D25</f>
        <v>-6e-13</v>
      </c>
      <c r="E29" s="16">
        <f>E26+E27+E28-E18-E25</f>
        <v>-4e-13</v>
      </c>
      <c r="F29" s="16">
        <f>F26+F27+F28-F18-F25</f>
        <v>0</v>
      </c>
    </row>
    <row r="30" ht="20.05" customHeight="1">
      <c r="B30" t="s" s="10">
        <v>25</v>
      </c>
      <c r="C30" s="15">
        <f>C18-C26-C27</f>
        <v>-347.380877080134</v>
      </c>
      <c r="D30" s="16">
        <f>D18-D26-D27</f>
        <v>-327.828092764658</v>
      </c>
      <c r="E30" s="16">
        <f>E18-E26-E27</f>
        <v>-304.980974331326</v>
      </c>
      <c r="F30" s="16">
        <f>F18-F26-F27</f>
        <v>-279.981557607660</v>
      </c>
    </row>
    <row r="31" ht="20.05" customHeight="1">
      <c r="B31" t="s" s="17">
        <v>26</v>
      </c>
      <c r="C31" s="15"/>
      <c r="D31" s="16"/>
      <c r="E31" s="16"/>
      <c r="F31" s="16"/>
    </row>
    <row r="32" ht="20.05" customHeight="1">
      <c r="B32" t="s" s="10">
        <v>27</v>
      </c>
      <c r="C32" s="15"/>
      <c r="D32" s="16"/>
      <c r="E32" s="16"/>
      <c r="F32" s="16">
        <v>14</v>
      </c>
    </row>
    <row r="33" ht="20.05" customHeight="1">
      <c r="B33" t="s" s="10">
        <v>28</v>
      </c>
      <c r="C33" s="15">
        <f>'Cashflow '!M26-C11</f>
        <v>279.729780729967</v>
      </c>
      <c r="D33" s="16">
        <f>C33-D11</f>
        <v>304.545761124311</v>
      </c>
      <c r="E33" s="16">
        <f>D33-E11</f>
        <v>329.333881417169</v>
      </c>
      <c r="F33" s="16">
        <f>E33-F11</f>
        <v>353.663529348085</v>
      </c>
    </row>
    <row r="34" ht="20.05" customHeight="1">
      <c r="B34" t="s" s="10">
        <v>29</v>
      </c>
      <c r="C34" s="15"/>
      <c r="D34" s="16"/>
      <c r="E34" s="16"/>
      <c r="F34" s="16">
        <f>3069/F32</f>
        <v>219.214285714286</v>
      </c>
    </row>
    <row r="35" ht="20.05" customHeight="1">
      <c r="B35" t="s" s="10">
        <v>30</v>
      </c>
      <c r="C35" s="15"/>
      <c r="D35" s="16"/>
      <c r="E35" s="16"/>
      <c r="F35" s="20">
        <f>F34/(C6+D6+E6+F6)</f>
        <v>0.21082991642919</v>
      </c>
    </row>
    <row r="36" ht="20.05" customHeight="1">
      <c r="B36" t="s" s="10">
        <v>31</v>
      </c>
      <c r="C36" s="15"/>
      <c r="D36" s="16"/>
      <c r="E36" s="16"/>
      <c r="F36" s="20">
        <f>F34/(F18+F25)</f>
        <v>0.253306994810568</v>
      </c>
    </row>
    <row r="37" ht="20.05" customHeight="1">
      <c r="B37" t="s" s="10">
        <v>32</v>
      </c>
      <c r="C37" s="15"/>
      <c r="D37" s="16"/>
      <c r="E37" s="16"/>
      <c r="F37" s="21">
        <f>-(C13+D13+E13+F13)/F34</f>
        <v>0.108362511688885</v>
      </c>
    </row>
    <row r="38" ht="20.05" customHeight="1">
      <c r="B38" t="s" s="10">
        <v>33</v>
      </c>
      <c r="C38" s="15"/>
      <c r="D38" s="16"/>
      <c r="E38" s="16"/>
      <c r="F38" s="16">
        <f>SUM(C9:F10)</f>
        <v>112.773052990425</v>
      </c>
    </row>
    <row r="39" ht="20.05" customHeight="1">
      <c r="B39" t="s" s="10">
        <v>34</v>
      </c>
      <c r="C39" s="15"/>
      <c r="D39" s="16"/>
      <c r="E39" s="16"/>
      <c r="F39" s="16">
        <f>'Balance sheet'!E25/F38</f>
        <v>6.89881119087958</v>
      </c>
    </row>
    <row r="40" ht="20.05" customHeight="1">
      <c r="B40" t="s" s="10">
        <v>26</v>
      </c>
      <c r="C40" s="15"/>
      <c r="D40" s="16"/>
      <c r="E40" s="16"/>
      <c r="F40" s="16">
        <f>F34/F38</f>
        <v>1.94385342864575</v>
      </c>
    </row>
    <row r="41" ht="20.05" customHeight="1">
      <c r="B41" t="s" s="10">
        <v>35</v>
      </c>
      <c r="C41" s="15"/>
      <c r="D41" s="16"/>
      <c r="E41" s="16"/>
      <c r="F41" s="16">
        <v>5</v>
      </c>
    </row>
    <row r="42" ht="20.05" customHeight="1">
      <c r="B42" t="s" s="10">
        <v>36</v>
      </c>
      <c r="C42" s="15"/>
      <c r="D42" s="16"/>
      <c r="E42" s="16"/>
      <c r="F42" s="16">
        <f>F38*F41</f>
        <v>563.865264952125</v>
      </c>
    </row>
    <row r="43" ht="20.05" customHeight="1">
      <c r="B43" t="s" s="10">
        <v>37</v>
      </c>
      <c r="C43" s="15"/>
      <c r="D43" s="16"/>
      <c r="E43" s="16"/>
      <c r="F43" s="16">
        <f>3069/F45</f>
        <v>0.654371002132196</v>
      </c>
    </row>
    <row r="44" ht="20.05" customHeight="1">
      <c r="B44" t="s" s="10">
        <v>38</v>
      </c>
      <c r="C44" s="15"/>
      <c r="D44" s="16"/>
      <c r="E44" s="16"/>
      <c r="F44" s="16">
        <f>(F42/F43)*F32</f>
        <v>12063.6667633615</v>
      </c>
    </row>
    <row r="45" ht="20.05" customHeight="1">
      <c r="B45" t="s" s="10">
        <v>39</v>
      </c>
      <c r="C45" s="15"/>
      <c r="D45" s="16"/>
      <c r="E45" s="16"/>
      <c r="F45" s="16">
        <f>'Share price '!C74</f>
        <v>4690</v>
      </c>
    </row>
    <row r="46" ht="20.05" customHeight="1">
      <c r="B46" t="s" s="10">
        <v>40</v>
      </c>
      <c r="C46" s="15"/>
      <c r="D46" s="16"/>
      <c r="E46" s="16"/>
      <c r="F46" s="21">
        <f>F44/F45-1</f>
        <v>1.57221039730522</v>
      </c>
    </row>
    <row r="47" ht="20.05" customHeight="1">
      <c r="B47" t="s" s="10">
        <v>41</v>
      </c>
      <c r="C47" s="15"/>
      <c r="D47" s="16"/>
      <c r="E47" s="16"/>
      <c r="F47" s="21">
        <f>'Sales'!C25/'Sales'!C21-1</f>
        <v>0.447133757961783</v>
      </c>
    </row>
    <row r="48" ht="20.05" customHeight="1">
      <c r="B48" t="s" s="10">
        <v>42</v>
      </c>
      <c r="C48" s="15"/>
      <c r="D48" s="16"/>
      <c r="E48" s="16"/>
      <c r="F48" s="21">
        <f>('Sales'!D22+'Sales'!D25+'Sales'!D23+'Sales'!D24)/('Sales'!C22+'Sales'!C23+'Sales'!C25+'Sales'!C24)-1</f>
        <v>-0.11786887332909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9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0" width="10.9688" style="22" customWidth="1"/>
    <col min="11" max="16384" width="16.3516" style="22" customWidth="1"/>
  </cols>
  <sheetData>
    <row r="1" ht="27.65" customHeight="1">
      <c r="B1" t="s" s="2">
        <v>43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23">
        <v>1</v>
      </c>
      <c r="C2" t="s" s="23">
        <v>5</v>
      </c>
      <c r="D2" t="s" s="23">
        <v>35</v>
      </c>
      <c r="E2" t="s" s="23">
        <v>44</v>
      </c>
      <c r="F2" t="s" s="23">
        <v>43</v>
      </c>
      <c r="G2" t="s" s="23">
        <v>45</v>
      </c>
      <c r="H2" t="s" s="23">
        <v>6</v>
      </c>
      <c r="I2" t="s" s="23">
        <v>46</v>
      </c>
      <c r="J2" t="s" s="23">
        <v>46</v>
      </c>
    </row>
    <row r="3" ht="20.25" customHeight="1">
      <c r="B3" s="24">
        <v>2016</v>
      </c>
      <c r="C3" s="25">
        <v>167</v>
      </c>
      <c r="D3" s="26"/>
      <c r="E3" s="26">
        <v>8.5</v>
      </c>
      <c r="F3" s="26">
        <v>0.08400000000000001</v>
      </c>
      <c r="G3" s="9"/>
      <c r="H3" s="9">
        <f>(E3+F3-C3)/C3</f>
        <v>-0.94859880239521</v>
      </c>
      <c r="I3" s="9"/>
      <c r="J3" s="9">
        <f>('Cashflow '!D4+'Cashflow '!G4-'Cashflow '!C4)/'Cashflow '!C4</f>
        <v>-0.818633470399369</v>
      </c>
    </row>
    <row r="4" ht="20.05" customHeight="1">
      <c r="B4" s="27"/>
      <c r="C4" s="15">
        <v>169.139</v>
      </c>
      <c r="D4" s="16"/>
      <c r="E4" s="16">
        <v>11.9</v>
      </c>
      <c r="F4" s="16">
        <v>0.226</v>
      </c>
      <c r="G4" s="12">
        <f>C4/C3-1</f>
        <v>0.0128083832335329</v>
      </c>
      <c r="H4" s="12">
        <f>(E4+F4-C4)/C4</f>
        <v>-0.928307486741674</v>
      </c>
      <c r="I4" s="12"/>
      <c r="J4" s="12">
        <f>('Cashflow '!D5+'Cashflow '!G5-'Cashflow '!C5)/'Cashflow '!C5</f>
        <v>-1.00908007775757</v>
      </c>
    </row>
    <row r="5" ht="20.05" customHeight="1">
      <c r="B5" s="27"/>
      <c r="C5" s="15">
        <v>163.651</v>
      </c>
      <c r="D5" s="16"/>
      <c r="E5" s="16">
        <v>9</v>
      </c>
      <c r="F5" s="16">
        <v>1.27</v>
      </c>
      <c r="G5" s="12">
        <f>C5/C4-1</f>
        <v>-0.0324466858619242</v>
      </c>
      <c r="H5" s="12">
        <f>(E5+F5-C5)/C5</f>
        <v>-0.937244502019542</v>
      </c>
      <c r="I5" s="12"/>
      <c r="J5" s="12">
        <f>('Cashflow '!D6+'Cashflow '!G6-'Cashflow '!C6)/'Cashflow '!C6</f>
        <v>-0.99954128440367</v>
      </c>
    </row>
    <row r="6" ht="20.05" customHeight="1">
      <c r="B6" s="27"/>
      <c r="C6" s="15">
        <v>191.96</v>
      </c>
      <c r="D6" s="16"/>
      <c r="E6" s="16">
        <v>9.5</v>
      </c>
      <c r="F6" s="16">
        <v>-0.13</v>
      </c>
      <c r="G6" s="12">
        <f>C6/C5-1</f>
        <v>0.172983971989172</v>
      </c>
      <c r="H6" s="12">
        <f>(E6+F6-C6)/C6</f>
        <v>-0.951187747447385</v>
      </c>
      <c r="I6" s="12"/>
      <c r="J6" s="12">
        <f>('Cashflow '!D7+'Cashflow '!G7-'Cashflow '!C7)/'Cashflow '!C7</f>
        <v>-0.835943886004639</v>
      </c>
    </row>
    <row r="7" ht="20.05" customHeight="1">
      <c r="B7" s="28">
        <v>2017</v>
      </c>
      <c r="C7" s="15">
        <v>197.4</v>
      </c>
      <c r="D7" s="16"/>
      <c r="E7" s="16">
        <v>9.199999999999999</v>
      </c>
      <c r="F7" s="16">
        <v>2.7</v>
      </c>
      <c r="G7" s="12">
        <f>C7/C6-1</f>
        <v>0.0283392373411127</v>
      </c>
      <c r="H7" s="12">
        <f>(E7+F7-C7)/C7</f>
        <v>-0.939716312056738</v>
      </c>
      <c r="I7" s="12">
        <f>AVERAGE(J4:J7)</f>
        <v>-0.914099417083254</v>
      </c>
      <c r="J7" s="12">
        <f>('Cashflow '!D8+'Cashflow '!G8-'Cashflow '!C8)/'Cashflow '!C8</f>
        <v>-0.811832420167137</v>
      </c>
    </row>
    <row r="8" ht="20.05" customHeight="1">
      <c r="B8" s="27"/>
      <c r="C8" s="15">
        <v>165</v>
      </c>
      <c r="D8" s="16"/>
      <c r="E8" s="16">
        <v>7.2</v>
      </c>
      <c r="F8" s="16">
        <v>3.679</v>
      </c>
      <c r="G8" s="12">
        <f>C8/C7-1</f>
        <v>-0.164133738601824</v>
      </c>
      <c r="H8" s="12">
        <f>(E8+F8-C8)/C8</f>
        <v>-0.934066666666667</v>
      </c>
      <c r="I8" s="12">
        <f>AVERAGE(J5:J8)</f>
        <v>-0.898527358868238</v>
      </c>
      <c r="J8" s="12">
        <f>('Cashflow '!D9+'Cashflow '!G9-'Cashflow '!C9)/'Cashflow '!C9</f>
        <v>-0.946791844897506</v>
      </c>
    </row>
    <row r="9" ht="20.05" customHeight="1">
      <c r="B9" s="27"/>
      <c r="C9" s="15">
        <v>212.09</v>
      </c>
      <c r="D9" s="16"/>
      <c r="E9" s="16">
        <v>11.2</v>
      </c>
      <c r="F9" s="16">
        <v>-1.509</v>
      </c>
      <c r="G9" s="12">
        <f>C9/C8-1</f>
        <v>0.285393939393939</v>
      </c>
      <c r="H9" s="12">
        <f>(E9+F9-C9)/C9</f>
        <v>-0.954307133763968</v>
      </c>
      <c r="I9" s="12">
        <f>AVERAGE(J6:J9)</f>
        <v>-0.879451417495006</v>
      </c>
      <c r="J9" s="12">
        <f>('Cashflow '!D10+'Cashflow '!G10-'Cashflow '!C10)/'Cashflow '!C10</f>
        <v>-0.923237518910741</v>
      </c>
    </row>
    <row r="10" ht="20.05" customHeight="1">
      <c r="B10" s="27"/>
      <c r="C10" s="15">
        <v>203.43</v>
      </c>
      <c r="D10" s="16"/>
      <c r="E10" s="16">
        <v>3.3</v>
      </c>
      <c r="F10" s="16">
        <v>-3.07</v>
      </c>
      <c r="G10" s="12">
        <f>C10/C9-1</f>
        <v>-0.0408317223820076</v>
      </c>
      <c r="H10" s="12">
        <f>(E10+F10-C10)/C10</f>
        <v>-0.998869389962149</v>
      </c>
      <c r="I10" s="12">
        <f>AVERAGE(J7:J10)</f>
        <v>-0.917560634434186</v>
      </c>
      <c r="J10" s="12">
        <f>('Cashflow '!D11+'Cashflow '!G11-'Cashflow '!C11)/'Cashflow '!C11</f>
        <v>-0.988380753761359</v>
      </c>
    </row>
    <row r="11" ht="20.05" customHeight="1">
      <c r="B11" s="28">
        <v>2018</v>
      </c>
      <c r="C11" s="15">
        <v>220</v>
      </c>
      <c r="D11" s="16"/>
      <c r="E11" s="16">
        <v>7.7</v>
      </c>
      <c r="F11" s="16">
        <v>13.568</v>
      </c>
      <c r="G11" s="12">
        <f>C11/C10-1</f>
        <v>0.0814530796834292</v>
      </c>
      <c r="H11" s="12">
        <f>(E11+F11-C11)/C11</f>
        <v>-0.903327272727273</v>
      </c>
      <c r="I11" s="12">
        <f>AVERAGE(J8:J11)</f>
        <v>-0.939166455247915</v>
      </c>
      <c r="J11" s="12">
        <f>('Cashflow '!D12+'Cashflow '!G12-'Cashflow '!C12)/'Cashflow '!C12</f>
        <v>-0.898255703422053</v>
      </c>
    </row>
    <row r="12" ht="20.05" customHeight="1">
      <c r="B12" s="27"/>
      <c r="C12" s="15">
        <v>195.1</v>
      </c>
      <c r="D12" s="16"/>
      <c r="E12" s="16">
        <v>7.7</v>
      </c>
      <c r="F12" s="16">
        <v>10.432</v>
      </c>
      <c r="G12" s="12">
        <f>C12/C11-1</f>
        <v>-0.113181818181818</v>
      </c>
      <c r="H12" s="12">
        <f>(E12+F12-C12)/C12</f>
        <v>-0.907063044592517</v>
      </c>
      <c r="I12" s="12">
        <f>AVERAGE(J9:J12)</f>
        <v>-0.911773382718431</v>
      </c>
      <c r="J12" s="12">
        <f>('Cashflow '!D13+'Cashflow '!G13-'Cashflow '!C13)/'Cashflow '!C13</f>
        <v>-0.837219554779572</v>
      </c>
    </row>
    <row r="13" ht="20.05" customHeight="1">
      <c r="B13" s="27"/>
      <c r="C13" s="15">
        <v>221.5</v>
      </c>
      <c r="D13" s="16"/>
      <c r="E13" s="16">
        <v>7.7</v>
      </c>
      <c r="F13" s="16">
        <v>55.4</v>
      </c>
      <c r="G13" s="12">
        <f>C13/C12-1</f>
        <v>0.135315222962583</v>
      </c>
      <c r="H13" s="12">
        <f>(E13+F13-C13)/C13</f>
        <v>-0.715124153498871</v>
      </c>
      <c r="I13" s="12">
        <f>AVERAGE(J10:J13)</f>
        <v>-0.944983854107371</v>
      </c>
      <c r="J13" s="12">
        <f>('Cashflow '!D14+'Cashflow '!G14-'Cashflow '!C14)/'Cashflow '!C14</f>
        <v>-1.0560794044665</v>
      </c>
    </row>
    <row r="14" ht="20.05" customHeight="1">
      <c r="B14" s="27"/>
      <c r="C14" s="15">
        <v>202.8</v>
      </c>
      <c r="D14" s="16"/>
      <c r="E14" s="16">
        <v>7.7</v>
      </c>
      <c r="F14" s="16">
        <v>-17</v>
      </c>
      <c r="G14" s="12">
        <f>C14/C13-1</f>
        <v>-0.08442437923250561</v>
      </c>
      <c r="H14" s="12">
        <f>(E14+F14-C14)/C14</f>
        <v>-1.04585798816568</v>
      </c>
      <c r="I14" s="12">
        <f>AVERAGE(J11:J14)</f>
        <v>-0.9474044041658209</v>
      </c>
      <c r="J14" s="12">
        <f>('Cashflow '!D15+'Cashflow '!G15-'Cashflow '!C15)/'Cashflow '!C15</f>
        <v>-0.998062953995157</v>
      </c>
    </row>
    <row r="15" ht="20.05" customHeight="1">
      <c r="B15" s="28">
        <v>2019</v>
      </c>
      <c r="C15" s="15">
        <v>205.2</v>
      </c>
      <c r="D15" s="16"/>
      <c r="E15" s="16">
        <v>7.7</v>
      </c>
      <c r="F15" s="16">
        <v>32.8</v>
      </c>
      <c r="G15" s="12">
        <f>C15/C14-1</f>
        <v>0.0118343195266272</v>
      </c>
      <c r="H15" s="12">
        <f>(E15+F15-C15)/C15</f>
        <v>-0.802631578947368</v>
      </c>
      <c r="I15" s="12">
        <f>AVERAGE(J12:J15)</f>
        <v>-0.980677066182867</v>
      </c>
      <c r="J15" s="12">
        <f>('Cashflow '!D16+'Cashflow '!G16-'Cashflow '!C16)/'Cashflow '!C16</f>
        <v>-1.03134635149024</v>
      </c>
    </row>
    <row r="16" ht="20.05" customHeight="1">
      <c r="B16" s="27"/>
      <c r="C16" s="15">
        <v>193.3</v>
      </c>
      <c r="D16" s="16"/>
      <c r="E16" s="16">
        <v>7.4</v>
      </c>
      <c r="F16" s="16">
        <v>2.5</v>
      </c>
      <c r="G16" s="12">
        <f>C16/C15-1</f>
        <v>-0.0579922027290448</v>
      </c>
      <c r="H16" s="12">
        <f>(E16+F16-C16)/C16</f>
        <v>-0.948784273150543</v>
      </c>
      <c r="I16" s="12">
        <f>AVERAGE(J13:J16)</f>
        <v>-1.01522269782856</v>
      </c>
      <c r="J16" s="12">
        <f>('Cashflow '!D17+'Cashflow '!G17-'Cashflow '!C17)/'Cashflow '!C17</f>
        <v>-0.975402081362346</v>
      </c>
    </row>
    <row r="17" ht="20.05" customHeight="1">
      <c r="B17" s="27"/>
      <c r="C17" s="15">
        <v>196.6</v>
      </c>
      <c r="D17" s="16"/>
      <c r="E17" s="16">
        <v>6.8</v>
      </c>
      <c r="F17" s="16">
        <v>5.6</v>
      </c>
      <c r="G17" s="12">
        <f>C17/C16-1</f>
        <v>0.0170719089498189</v>
      </c>
      <c r="H17" s="12">
        <f>(E17+F17-C17)/C17</f>
        <v>-0.936927772126144</v>
      </c>
      <c r="I17" s="12">
        <f>AVERAGE(J14:J17)</f>
        <v>-0.976481567022164</v>
      </c>
      <c r="J17" s="12">
        <f>('Cashflow '!D18+'Cashflow '!G18-'Cashflow '!C18)/'Cashflow '!C18</f>
        <v>-0.901114881240911</v>
      </c>
    </row>
    <row r="18" ht="20.05" customHeight="1">
      <c r="B18" s="27"/>
      <c r="C18" s="15">
        <v>172.6</v>
      </c>
      <c r="D18" s="16"/>
      <c r="E18" s="16">
        <v>7</v>
      </c>
      <c r="F18" s="16">
        <v>-2.8</v>
      </c>
      <c r="G18" s="12">
        <f>C18/C17-1</f>
        <v>-0.122075279755849</v>
      </c>
      <c r="H18" s="12">
        <f>(E18+F18-C18)/C18</f>
        <v>-0.975666280417149</v>
      </c>
      <c r="I18" s="12">
        <f>AVERAGE(J15:J18)</f>
        <v>-0.955491151264189</v>
      </c>
      <c r="J18" s="12">
        <f>('Cashflow '!D19+'Cashflow '!G19-'Cashflow '!C19)/'Cashflow '!C19</f>
        <v>-0.914101290963257</v>
      </c>
    </row>
    <row r="19" ht="20.05" customHeight="1">
      <c r="B19" s="28">
        <v>2020</v>
      </c>
      <c r="C19" s="15">
        <v>183.4</v>
      </c>
      <c r="D19" s="16"/>
      <c r="E19" s="16">
        <v>7.6</v>
      </c>
      <c r="F19" s="16">
        <v>4.3</v>
      </c>
      <c r="G19" s="12">
        <f>C19/C18-1</f>
        <v>0.0625724217844728</v>
      </c>
      <c r="H19" s="12">
        <f>(E19+F19-C19)/C19</f>
        <v>-0.935114503816794</v>
      </c>
      <c r="I19" s="12">
        <f>AVERAGE(J16:J19)</f>
        <v>-0.936114172021834</v>
      </c>
      <c r="J19" s="12">
        <f>('Cashflow '!D20+'Cashflow '!G20-'Cashflow '!C20)/'Cashflow '!C20</f>
        <v>-0.953838434520823</v>
      </c>
    </row>
    <row r="20" ht="20.05" customHeight="1">
      <c r="B20" s="27"/>
      <c r="C20" s="15">
        <v>101.8</v>
      </c>
      <c r="D20" s="16"/>
      <c r="E20" s="16">
        <v>7.5</v>
      </c>
      <c r="F20" s="16">
        <v>-3.2</v>
      </c>
      <c r="G20" s="12">
        <f>C20/C19-1</f>
        <v>-0.444929116684842</v>
      </c>
      <c r="H20" s="12">
        <f>(E20+F20-C20)/C20</f>
        <v>-0.9577603143418471</v>
      </c>
      <c r="I20" s="12">
        <f>AVERAGE(J17:J20)</f>
        <v>-0.955876217126273</v>
      </c>
      <c r="J20" s="12">
        <f>('Cashflow '!D21+'Cashflow '!G21-'Cashflow '!C21)/'Cashflow '!C21</f>
        <v>-1.0544502617801</v>
      </c>
    </row>
    <row r="21" ht="20.05" customHeight="1">
      <c r="B21" s="27"/>
      <c r="C21" s="15">
        <v>157</v>
      </c>
      <c r="D21" s="16"/>
      <c r="E21" s="16">
        <v>7.6</v>
      </c>
      <c r="F21" s="16">
        <v>1.3</v>
      </c>
      <c r="G21" s="12">
        <f>C21/C20-1</f>
        <v>0.5422396856581529</v>
      </c>
      <c r="H21" s="12">
        <f>(E21+F21-C21)/C21</f>
        <v>-0.943312101910828</v>
      </c>
      <c r="I21" s="12">
        <f>AVERAGE(J18:J21)</f>
        <v>-0.996809100911608</v>
      </c>
      <c r="J21" s="12">
        <f>('Cashflow '!D22+'Cashflow '!G22-'Cashflow '!C22)/'Cashflow '!C22</f>
        <v>-1.06484641638225</v>
      </c>
    </row>
    <row r="22" ht="20.05" customHeight="1">
      <c r="B22" s="27"/>
      <c r="C22" s="15">
        <v>146.8</v>
      </c>
      <c r="D22" s="16">
        <v>146.8</v>
      </c>
      <c r="E22" s="16">
        <v>9</v>
      </c>
      <c r="F22" s="16">
        <v>3.8</v>
      </c>
      <c r="G22" s="12">
        <f>C22/C21-1</f>
        <v>-0.064968152866242</v>
      </c>
      <c r="H22" s="12">
        <f>(E22+F22-C22)/C22</f>
        <v>-0.9128065395095371</v>
      </c>
      <c r="I22" s="12">
        <f>AVERAGE(J19:J22)</f>
        <v>-0.998617508802498</v>
      </c>
      <c r="J22" s="12">
        <f>('Cashflow '!D23+'Cashflow '!G23-'Cashflow '!C23)/'Cashflow '!C23</f>
        <v>-0.921334922526818</v>
      </c>
    </row>
    <row r="23" ht="20.05" customHeight="1">
      <c r="B23" s="28">
        <v>2021</v>
      </c>
      <c r="C23" s="15">
        <v>209</v>
      </c>
      <c r="D23" s="16">
        <v>151.204</v>
      </c>
      <c r="E23" s="16">
        <v>7.7</v>
      </c>
      <c r="F23" s="16">
        <v>18.4</v>
      </c>
      <c r="G23" s="12">
        <f>C23/C22-1</f>
        <v>0.423705722070845</v>
      </c>
      <c r="H23" s="12">
        <f>(E23+F23-C23)/C23</f>
        <v>-0.87511961722488</v>
      </c>
      <c r="I23" s="12">
        <f>AVERAGE(J20:J23)</f>
        <v>-0.962274302288694</v>
      </c>
      <c r="J23" s="12">
        <f>('Cashflow '!D24+'Cashflow '!G24-'Cashflow '!C24)/'Cashflow '!C24</f>
        <v>-0.808465608465608</v>
      </c>
    </row>
    <row r="24" ht="20.05" customHeight="1">
      <c r="B24" s="27"/>
      <c r="C24" s="15">
        <f>411.5-C23</f>
        <v>202.5</v>
      </c>
      <c r="D24" s="16">
        <v>196.46</v>
      </c>
      <c r="E24" s="16">
        <f>15.7-E23</f>
        <v>8</v>
      </c>
      <c r="F24" s="16">
        <f>40-F23</f>
        <v>21.6</v>
      </c>
      <c r="G24" s="12">
        <f>C24/C23-1</f>
        <v>-0.0311004784688995</v>
      </c>
      <c r="H24" s="12">
        <f>(E24+F24-C24)/C24</f>
        <v>-0.853827160493827</v>
      </c>
      <c r="I24" s="12">
        <f>AVERAGE(J21:J24)</f>
        <v>-0.876118653471522</v>
      </c>
      <c r="J24" s="12">
        <f>('Cashflow '!D25+'Cashflow '!G25-'Cashflow '!C25)/'Cashflow '!C25</f>
        <v>-0.709827666511411</v>
      </c>
    </row>
    <row r="25" ht="20.05" customHeight="1">
      <c r="B25" s="27"/>
      <c r="C25" s="15">
        <f>638.7-SUM(C23:C24)</f>
        <v>227.2</v>
      </c>
      <c r="D25" s="19">
        <v>198.45</v>
      </c>
      <c r="E25" s="16">
        <f>23.7-SUM(E23:E24)</f>
        <v>8</v>
      </c>
      <c r="F25" s="16">
        <f>54.5-SUM(F23:F24)</f>
        <v>14.5</v>
      </c>
      <c r="G25" s="12">
        <f>C25/C24-1</f>
        <v>0.121975308641975</v>
      </c>
      <c r="H25" s="12">
        <f>(E25+F25-C25)/C25</f>
        <v>-0.900968309859155</v>
      </c>
      <c r="I25" s="12">
        <f>AVERAGE(J22:J25)</f>
        <v>-0.854993619333844</v>
      </c>
      <c r="J25" s="12">
        <f>('Cashflow '!D26+'Cashflow '!G26-'Cashflow '!C26)/'Cashflow '!C26</f>
        <v>-0.98034627983154</v>
      </c>
    </row>
    <row r="26" ht="20.05" customHeight="1">
      <c r="B26" s="27"/>
      <c r="C26" s="15"/>
      <c r="D26" s="19">
        <f>'Model'!C6</f>
        <v>254.464</v>
      </c>
      <c r="E26" s="16"/>
      <c r="F26" s="16"/>
      <c r="G26" s="12"/>
      <c r="H26" s="12">
        <f>'Model'!C7</f>
        <v>-0.854993619333844</v>
      </c>
      <c r="I26" s="12"/>
      <c r="J26" s="12"/>
    </row>
    <row r="27" ht="20.05" customHeight="1">
      <c r="B27" s="28">
        <v>2022</v>
      </c>
      <c r="C27" s="15"/>
      <c r="D27" s="16">
        <f>'Model'!D6</f>
        <v>236.65152</v>
      </c>
      <c r="E27" s="16"/>
      <c r="F27" s="16"/>
      <c r="G27" s="12"/>
      <c r="H27" s="12"/>
      <c r="I27" s="12"/>
      <c r="J27" s="12"/>
    </row>
    <row r="28" ht="20.05" customHeight="1">
      <c r="B28" s="27"/>
      <c r="C28" s="15"/>
      <c r="D28" s="16">
        <f>'Model'!E6</f>
        <v>265.0497024</v>
      </c>
      <c r="E28" s="16"/>
      <c r="F28" s="16"/>
      <c r="G28" s="12"/>
      <c r="H28" s="12"/>
      <c r="I28" s="12"/>
      <c r="J28" s="12"/>
    </row>
    <row r="29" ht="20.05" customHeight="1">
      <c r="B29" s="27"/>
      <c r="C29" s="15"/>
      <c r="D29" s="16">
        <f>'Model'!F6</f>
        <v>283.603181568</v>
      </c>
      <c r="E29" s="16"/>
      <c r="F29" s="16"/>
      <c r="G29" s="12"/>
      <c r="H29" s="12"/>
      <c r="I29" s="12"/>
      <c r="J29" s="12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M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9" customWidth="1"/>
    <col min="2" max="2" width="9.5625" style="29" customWidth="1"/>
    <col min="3" max="13" width="10.3672" style="29" customWidth="1"/>
    <col min="14" max="16384" width="16.3516" style="29" customWidth="1"/>
  </cols>
  <sheetData>
    <row r="1" ht="13.85" customHeight="1"/>
    <row r="2" ht="27.65" customHeight="1">
      <c r="B2" t="s" s="2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46.75" customHeight="1">
      <c r="B3" t="s" s="23">
        <v>1</v>
      </c>
      <c r="C3" t="s" s="23">
        <v>47</v>
      </c>
      <c r="D3" t="s" s="23">
        <v>8</v>
      </c>
      <c r="E3" t="s" s="23">
        <v>48</v>
      </c>
      <c r="F3" t="s" s="23">
        <v>49</v>
      </c>
      <c r="G3" t="s" s="23">
        <v>50</v>
      </c>
      <c r="H3" t="s" s="23">
        <v>11</v>
      </c>
      <c r="I3" t="s" s="23">
        <v>12</v>
      </c>
      <c r="J3" t="s" s="23">
        <v>51</v>
      </c>
      <c r="K3" t="s" s="23">
        <v>52</v>
      </c>
      <c r="L3" t="s" s="23">
        <v>33</v>
      </c>
      <c r="M3" t="s" s="23">
        <v>28</v>
      </c>
    </row>
    <row r="4" ht="21.4" customHeight="1">
      <c r="B4" s="24">
        <v>2016</v>
      </c>
      <c r="C4" s="25">
        <v>177.53</v>
      </c>
      <c r="D4" s="26">
        <v>35.278</v>
      </c>
      <c r="E4" s="26"/>
      <c r="F4" s="26">
        <v>-54.175</v>
      </c>
      <c r="G4" s="26">
        <v>-3.08</v>
      </c>
      <c r="H4" s="30"/>
      <c r="I4" s="30"/>
      <c r="J4" s="30">
        <v>11</v>
      </c>
      <c r="K4" s="30">
        <f>G4+D4+F4</f>
        <v>-21.977</v>
      </c>
      <c r="L4" s="30"/>
      <c r="M4" s="26">
        <f>-(J4-G4)</f>
        <v>-14.08</v>
      </c>
    </row>
    <row r="5" ht="21.2" customHeight="1">
      <c r="B5" s="27"/>
      <c r="C5" s="31">
        <v>159.47</v>
      </c>
      <c r="D5" s="32">
        <v>1.322</v>
      </c>
      <c r="E5" s="32"/>
      <c r="F5" s="32">
        <v>-18.425</v>
      </c>
      <c r="G5" s="32">
        <v>-2.77</v>
      </c>
      <c r="H5" s="32"/>
      <c r="I5" s="32"/>
      <c r="J5" s="32">
        <v>8.5</v>
      </c>
      <c r="K5" s="32">
        <f>G5+D5+F5</f>
        <v>-19.873</v>
      </c>
      <c r="L5" s="32"/>
      <c r="M5" s="16">
        <f>-(J5-G5)+M4</f>
        <v>-25.35</v>
      </c>
    </row>
    <row r="6" ht="21.2" customHeight="1">
      <c r="B6" s="27"/>
      <c r="C6" s="31">
        <v>152.6</v>
      </c>
      <c r="D6" s="32">
        <v>2.65</v>
      </c>
      <c r="E6" s="32"/>
      <c r="F6" s="32">
        <v>-10.8</v>
      </c>
      <c r="G6" s="32">
        <v>-2.58</v>
      </c>
      <c r="H6" s="32"/>
      <c r="I6" s="32"/>
      <c r="J6" s="32">
        <v>0</v>
      </c>
      <c r="K6" s="32">
        <f>G6+D6+F6</f>
        <v>-10.73</v>
      </c>
      <c r="L6" s="32"/>
      <c r="M6" s="16">
        <f>-(J6-G6)+M5</f>
        <v>-27.93</v>
      </c>
    </row>
    <row r="7" ht="21.2" customHeight="1">
      <c r="B7" s="27"/>
      <c r="C7" s="31">
        <v>181.06</v>
      </c>
      <c r="D7" s="32">
        <v>31.854</v>
      </c>
      <c r="E7" s="32"/>
      <c r="F7" s="32">
        <v>1.6</v>
      </c>
      <c r="G7" s="32">
        <v>-2.15</v>
      </c>
      <c r="H7" s="32"/>
      <c r="I7" s="32"/>
      <c r="J7" s="32">
        <v>-78.5</v>
      </c>
      <c r="K7" s="32">
        <f>G7+D7+F7</f>
        <v>31.304</v>
      </c>
      <c r="L7" s="32"/>
      <c r="M7" s="16">
        <f>-(J7-G7)+M6</f>
        <v>48.42</v>
      </c>
    </row>
    <row r="8" ht="21.2" customHeight="1">
      <c r="B8" s="28">
        <v>2017</v>
      </c>
      <c r="C8" s="15">
        <v>180.69</v>
      </c>
      <c r="D8" s="16">
        <v>36.6</v>
      </c>
      <c r="E8" s="16"/>
      <c r="F8" s="16">
        <v>-9.869999999999999</v>
      </c>
      <c r="G8" s="16">
        <v>-2.6</v>
      </c>
      <c r="H8" s="32"/>
      <c r="I8" s="32"/>
      <c r="J8" s="32">
        <v>-21</v>
      </c>
      <c r="K8" s="32">
        <f>G8+D8+F8</f>
        <v>24.13</v>
      </c>
      <c r="L8" s="32">
        <f>AVERAGE(K5:K8)</f>
        <v>6.20775</v>
      </c>
      <c r="M8" s="16">
        <f>-(J8-G8)+M7</f>
        <v>66.81999999999999</v>
      </c>
    </row>
    <row r="9" ht="21.2" customHeight="1">
      <c r="B9" s="27"/>
      <c r="C9" s="31">
        <v>180.01</v>
      </c>
      <c r="D9" s="32">
        <v>11.958</v>
      </c>
      <c r="E9" s="32"/>
      <c r="F9" s="32">
        <v>-1.988</v>
      </c>
      <c r="G9" s="32">
        <v>-2.38</v>
      </c>
      <c r="H9" s="32"/>
      <c r="I9" s="32"/>
      <c r="J9" s="32">
        <v>-13</v>
      </c>
      <c r="K9" s="32">
        <f>G9+D9+F9</f>
        <v>7.59</v>
      </c>
      <c r="L9" s="32">
        <f>AVERAGE(K6:K9)</f>
        <v>13.0735</v>
      </c>
      <c r="M9" s="16">
        <f>-(J9-G9)+M8</f>
        <v>77.44</v>
      </c>
    </row>
    <row r="10" ht="21.2" customHeight="1">
      <c r="B10" s="27"/>
      <c r="C10" s="31">
        <v>198.3</v>
      </c>
      <c r="D10" s="32">
        <v>18.442</v>
      </c>
      <c r="E10" s="32"/>
      <c r="F10" s="32">
        <v>-2.842</v>
      </c>
      <c r="G10" s="32">
        <v>-3.22</v>
      </c>
      <c r="H10" s="32"/>
      <c r="I10" s="32"/>
      <c r="J10" s="32">
        <v>-19</v>
      </c>
      <c r="K10" s="32">
        <f>G10+D10+F10</f>
        <v>12.38</v>
      </c>
      <c r="L10" s="32">
        <f>AVERAGE(K7:K10)</f>
        <v>18.851</v>
      </c>
      <c r="M10" s="16">
        <f>-(J10-G10)+M9</f>
        <v>93.22</v>
      </c>
    </row>
    <row r="11" ht="21.2" customHeight="1">
      <c r="B11" s="27"/>
      <c r="C11" s="31">
        <v>201.39</v>
      </c>
      <c r="D11" s="32">
        <v>4.76</v>
      </c>
      <c r="E11" s="32"/>
      <c r="F11" s="32">
        <v>-1.3</v>
      </c>
      <c r="G11" s="32">
        <v>-2.42</v>
      </c>
      <c r="H11" s="32"/>
      <c r="I11" s="32"/>
      <c r="J11" s="32">
        <v>-6</v>
      </c>
      <c r="K11" s="32">
        <f>G11+D11+F11</f>
        <v>1.04</v>
      </c>
      <c r="L11" s="32">
        <f>AVERAGE(K8:K11)</f>
        <v>11.285</v>
      </c>
      <c r="M11" s="16">
        <f>-(J11-G11)+M10</f>
        <v>96.8</v>
      </c>
    </row>
    <row r="12" ht="21.2" customHeight="1">
      <c r="B12" s="28">
        <v>2018</v>
      </c>
      <c r="C12" s="15">
        <v>210.4</v>
      </c>
      <c r="D12" s="16">
        <v>21.6</v>
      </c>
      <c r="E12" s="16"/>
      <c r="F12" s="16">
        <v>-4.109</v>
      </c>
      <c r="G12" s="16">
        <v>-0.193</v>
      </c>
      <c r="H12" s="32"/>
      <c r="I12" s="32"/>
      <c r="J12" s="32">
        <v>-9</v>
      </c>
      <c r="K12" s="32">
        <f>G12+D12+F12</f>
        <v>17.298</v>
      </c>
      <c r="L12" s="32">
        <f>AVERAGE(K9:K12)</f>
        <v>9.577</v>
      </c>
      <c r="M12" s="16">
        <f>-(J12-G12)+M11</f>
        <v>105.607</v>
      </c>
    </row>
    <row r="13" ht="21.2" customHeight="1">
      <c r="B13" s="27"/>
      <c r="C13" s="31">
        <v>229.1</v>
      </c>
      <c r="D13" s="32">
        <v>39.3</v>
      </c>
      <c r="E13" s="32"/>
      <c r="F13" s="32">
        <v>-9.991</v>
      </c>
      <c r="G13" s="32">
        <v>-2.007</v>
      </c>
      <c r="H13" s="32"/>
      <c r="I13" s="32"/>
      <c r="J13" s="32">
        <v>10</v>
      </c>
      <c r="K13" s="32">
        <f>G13+D13+F13</f>
        <v>27.302</v>
      </c>
      <c r="L13" s="32">
        <f>AVERAGE(K10:K13)</f>
        <v>14.505</v>
      </c>
      <c r="M13" s="16">
        <f>-(J13-G13)+M12</f>
        <v>93.59999999999999</v>
      </c>
    </row>
    <row r="14" ht="21.2" customHeight="1">
      <c r="B14" s="27"/>
      <c r="C14" s="31">
        <v>201.5</v>
      </c>
      <c r="D14" s="32">
        <v>-9.199999999999999</v>
      </c>
      <c r="E14" s="32"/>
      <c r="F14" s="32">
        <v>51.4</v>
      </c>
      <c r="G14" s="32">
        <v>-2.1</v>
      </c>
      <c r="H14" s="32"/>
      <c r="I14" s="32"/>
      <c r="J14" s="32">
        <v>-64</v>
      </c>
      <c r="K14" s="32">
        <f>G14+D14+F14</f>
        <v>40.1</v>
      </c>
      <c r="L14" s="32">
        <f>AVERAGE(K11:K14)</f>
        <v>21.435</v>
      </c>
      <c r="M14" s="16">
        <f>-(J14-G14)+M13</f>
        <v>155.5</v>
      </c>
    </row>
    <row r="15" ht="21.2" customHeight="1">
      <c r="B15" s="27"/>
      <c r="C15" s="31">
        <v>206.5</v>
      </c>
      <c r="D15" s="32">
        <v>4.5</v>
      </c>
      <c r="E15" s="32"/>
      <c r="F15" s="32">
        <v>0.4</v>
      </c>
      <c r="G15" s="32">
        <v>-4.1</v>
      </c>
      <c r="H15" s="32"/>
      <c r="I15" s="32"/>
      <c r="J15" s="32">
        <v>-17</v>
      </c>
      <c r="K15" s="32">
        <f>G15+D15+F15</f>
        <v>0.8</v>
      </c>
      <c r="L15" s="32">
        <f>AVERAGE(K12:K15)</f>
        <v>21.375</v>
      </c>
      <c r="M15" s="16">
        <f>-(J15-G15)+M14</f>
        <v>168.4</v>
      </c>
    </row>
    <row r="16" ht="21.2" customHeight="1">
      <c r="B16" s="28">
        <v>2019</v>
      </c>
      <c r="C16" s="15">
        <v>194.6</v>
      </c>
      <c r="D16" s="16">
        <v>-4.8</v>
      </c>
      <c r="E16" s="32">
        <v>-7.8</v>
      </c>
      <c r="F16" s="16">
        <v>44</v>
      </c>
      <c r="G16" s="16">
        <v>-1.3</v>
      </c>
      <c r="H16" s="32"/>
      <c r="I16" s="32"/>
      <c r="J16" s="32">
        <v>-50</v>
      </c>
      <c r="K16" s="32">
        <f>G16+D16+F16</f>
        <v>37.9</v>
      </c>
      <c r="L16" s="32">
        <f>AVERAGE(K13:K16)</f>
        <v>26.5255</v>
      </c>
      <c r="M16" s="16">
        <f>-(J16-G16)+M15</f>
        <v>217.1</v>
      </c>
    </row>
    <row r="17" ht="21.2" customHeight="1">
      <c r="B17" s="27"/>
      <c r="C17" s="31">
        <v>211.4</v>
      </c>
      <c r="D17" s="32">
        <v>6.5</v>
      </c>
      <c r="E17" s="32">
        <v>-9.300000000000001</v>
      </c>
      <c r="F17" s="32">
        <v>-7.2</v>
      </c>
      <c r="G17" s="32">
        <v>-1.3</v>
      </c>
      <c r="H17" s="32"/>
      <c r="I17" s="32"/>
      <c r="J17" s="32">
        <v>-4</v>
      </c>
      <c r="K17" s="32">
        <f>G17+D17+F17</f>
        <v>-2</v>
      </c>
      <c r="L17" s="32">
        <f>AVERAGE(K14:K17)</f>
        <v>19.2</v>
      </c>
      <c r="M17" s="16">
        <f>-(J17-G17)+M16</f>
        <v>219.8</v>
      </c>
    </row>
    <row r="18" ht="21.2" customHeight="1">
      <c r="B18" s="27"/>
      <c r="C18" s="31">
        <v>206.3</v>
      </c>
      <c r="D18" s="32">
        <v>21.7</v>
      </c>
      <c r="E18" s="32">
        <v>-22.4</v>
      </c>
      <c r="F18" s="32">
        <v>-19.3</v>
      </c>
      <c r="G18" s="32">
        <v>-1.3</v>
      </c>
      <c r="H18" s="32"/>
      <c r="I18" s="32"/>
      <c r="J18" s="32">
        <v>1</v>
      </c>
      <c r="K18" s="32">
        <f>G18+D18+F18</f>
        <v>1.1</v>
      </c>
      <c r="L18" s="32">
        <f>AVERAGE(K15:K18)</f>
        <v>9.449999999999999</v>
      </c>
      <c r="M18" s="16">
        <f>-(J18-G18)+M17</f>
        <v>217.5</v>
      </c>
    </row>
    <row r="19" ht="21.2" customHeight="1">
      <c r="B19" s="27"/>
      <c r="C19" s="31">
        <v>201.4</v>
      </c>
      <c r="D19" s="32">
        <v>19</v>
      </c>
      <c r="E19" s="32">
        <v>-15.5</v>
      </c>
      <c r="F19" s="32">
        <v>-9.6</v>
      </c>
      <c r="G19" s="32">
        <v>-1.7</v>
      </c>
      <c r="H19" s="32"/>
      <c r="I19" s="32"/>
      <c r="J19" s="32">
        <v>-14</v>
      </c>
      <c r="K19" s="32">
        <f>G19+D19+F19</f>
        <v>7.7</v>
      </c>
      <c r="L19" s="32">
        <f>AVERAGE(K16:K19)</f>
        <v>11.175</v>
      </c>
      <c r="M19" s="16">
        <f>-(J19-G19)+M18</f>
        <v>229.8</v>
      </c>
    </row>
    <row r="20" ht="21.2" customHeight="1">
      <c r="B20" s="28">
        <v>2020</v>
      </c>
      <c r="C20" s="15">
        <v>199.3</v>
      </c>
      <c r="D20" s="16">
        <v>10.6</v>
      </c>
      <c r="E20" s="32">
        <v>-4.7</v>
      </c>
      <c r="F20" s="16">
        <v>-6.2</v>
      </c>
      <c r="G20" s="16">
        <v>-1.4</v>
      </c>
      <c r="H20" s="32"/>
      <c r="I20" s="32"/>
      <c r="J20" s="32">
        <v>32</v>
      </c>
      <c r="K20" s="32">
        <f>G20+D20+F20</f>
        <v>3</v>
      </c>
      <c r="L20" s="32">
        <f>AVERAGE(K17:K20)</f>
        <v>2.45</v>
      </c>
      <c r="M20" s="16">
        <f>-(J20-G20)+M19</f>
        <v>196.4</v>
      </c>
    </row>
    <row r="21" ht="21.2" customHeight="1">
      <c r="B21" s="27"/>
      <c r="C21" s="31">
        <v>95.5</v>
      </c>
      <c r="D21" s="32">
        <v>-3.7</v>
      </c>
      <c r="E21" s="32">
        <v>-3.8</v>
      </c>
      <c r="F21" s="32">
        <v>-2.4</v>
      </c>
      <c r="G21" s="32">
        <v>-1.5</v>
      </c>
      <c r="H21" s="32"/>
      <c r="I21" s="32"/>
      <c r="J21" s="32">
        <v>1</v>
      </c>
      <c r="K21" s="32">
        <f>G21+D21+F21</f>
        <v>-7.6</v>
      </c>
      <c r="L21" s="32">
        <f>AVERAGE(K18:K21)</f>
        <v>1.05</v>
      </c>
      <c r="M21" s="16">
        <f>-(J21-G21)+M20</f>
        <v>193.9</v>
      </c>
    </row>
    <row r="22" ht="21.2" customHeight="1">
      <c r="B22" s="27"/>
      <c r="C22" s="31">
        <v>146.5</v>
      </c>
      <c r="D22" s="32">
        <v>-7.7</v>
      </c>
      <c r="E22" s="32">
        <v>-4.4</v>
      </c>
      <c r="F22" s="32">
        <v>22</v>
      </c>
      <c r="G22" s="32">
        <v>-1.8</v>
      </c>
      <c r="H22" s="32"/>
      <c r="I22" s="32"/>
      <c r="J22" s="32">
        <v>-2</v>
      </c>
      <c r="K22" s="32">
        <f>G22+D22+F22</f>
        <v>12.5</v>
      </c>
      <c r="L22" s="32">
        <f>AVERAGE(K19:K22)</f>
        <v>3.9</v>
      </c>
      <c r="M22" s="16">
        <f>-(J22-G22)+M21</f>
        <v>194.1</v>
      </c>
    </row>
    <row r="23" ht="21.2" customHeight="1">
      <c r="B23" s="27"/>
      <c r="C23" s="31">
        <v>167.8</v>
      </c>
      <c r="D23" s="32">
        <v>14.6</v>
      </c>
      <c r="E23" s="32">
        <v>-9.699999999999999</v>
      </c>
      <c r="F23" s="32">
        <v>-38.8</v>
      </c>
      <c r="G23" s="32">
        <v>-1.4</v>
      </c>
      <c r="H23" s="32"/>
      <c r="I23" s="32"/>
      <c r="J23" s="32">
        <v>-2</v>
      </c>
      <c r="K23" s="32">
        <f>G23+D23+F23</f>
        <v>-25.6</v>
      </c>
      <c r="L23" s="32">
        <f>AVERAGE(K20:K23)</f>
        <v>-4.425</v>
      </c>
      <c r="M23" s="16">
        <f>-(J23-G23)+M22</f>
        <v>194.7</v>
      </c>
    </row>
    <row r="24" ht="21.2" customHeight="1">
      <c r="B24" s="28">
        <v>2021</v>
      </c>
      <c r="C24" s="31">
        <v>189</v>
      </c>
      <c r="D24" s="32">
        <v>37.2</v>
      </c>
      <c r="E24" s="32">
        <v>-19.5</v>
      </c>
      <c r="F24" s="32">
        <v>-24.3</v>
      </c>
      <c r="G24" s="32">
        <v>-1</v>
      </c>
      <c r="H24" s="32">
        <f>-16.032-G24</f>
        <v>-15.032</v>
      </c>
      <c r="I24" s="32"/>
      <c r="J24" s="32">
        <f>-16</f>
        <v>-16</v>
      </c>
      <c r="K24" s="32">
        <f>G24+D24+F24</f>
        <v>11.9</v>
      </c>
      <c r="L24" s="32">
        <f>AVERAGE(K21:K24)</f>
        <v>-2.2</v>
      </c>
      <c r="M24" s="16">
        <f>-(J24-G24)+M23</f>
        <v>209.7</v>
      </c>
    </row>
    <row r="25" ht="21.2" customHeight="1">
      <c r="B25" s="27"/>
      <c r="C25" s="31">
        <f>403.7-C24</f>
        <v>214.7</v>
      </c>
      <c r="D25" s="32">
        <f>100.6-D24</f>
        <v>63.4</v>
      </c>
      <c r="E25" s="32">
        <v>-3.8</v>
      </c>
      <c r="F25" s="32">
        <f>-28.3-F24</f>
        <v>-4</v>
      </c>
      <c r="G25" s="32">
        <f>-2.1-G24</f>
        <v>-1.1</v>
      </c>
      <c r="H25" s="32">
        <f>-55.861-H24-G25-G24</f>
        <v>-38.729</v>
      </c>
      <c r="I25" s="32"/>
      <c r="J25" s="32">
        <f>-55.9-J24</f>
        <v>-39.9</v>
      </c>
      <c r="K25" s="32">
        <f>G25+D25+F25</f>
        <v>58.3</v>
      </c>
      <c r="L25" s="32">
        <f>AVERAGE(K22:K25)</f>
        <v>14.275</v>
      </c>
      <c r="M25" s="16">
        <f>-(J25-G25)+M24</f>
        <v>248.5</v>
      </c>
    </row>
    <row r="26" ht="21.2" customHeight="1">
      <c r="B26" s="27"/>
      <c r="C26" s="31">
        <f>617.4-SUM(C24:C25)</f>
        <v>213.7</v>
      </c>
      <c r="D26" s="32">
        <f>105.6-SUM(D24:D25)</f>
        <v>5</v>
      </c>
      <c r="E26" s="32">
        <f>-32.8-SUM(E24:E25)</f>
        <v>-9.5</v>
      </c>
      <c r="F26" s="32">
        <f>-37.1-SUM(F24:F25)</f>
        <v>-8.800000000000001</v>
      </c>
      <c r="G26" s="32">
        <f>-2.9-SUM(G24:G25)</f>
        <v>-0.8</v>
      </c>
      <c r="H26" s="32">
        <f>-65.535-H25-H24-G26-G25-G24</f>
        <v>-8.874000000000001</v>
      </c>
      <c r="I26" s="32"/>
      <c r="J26" s="32">
        <f>-61.5-SUM(J24:J25)</f>
        <v>-5.6</v>
      </c>
      <c r="K26" s="32">
        <f>G26+D26+F26</f>
        <v>-4.6</v>
      </c>
      <c r="L26" s="32">
        <f>AVERAGE(K23:K26)</f>
        <v>10</v>
      </c>
      <c r="M26" s="16">
        <f>-(J26-G26)+M25</f>
        <v>253.3</v>
      </c>
    </row>
    <row r="27" ht="21.2" customHeight="1">
      <c r="B27" s="27"/>
      <c r="C27" s="31"/>
      <c r="D27" s="32"/>
      <c r="E27" s="32"/>
      <c r="F27" s="32"/>
      <c r="G27" s="32"/>
      <c r="H27" s="32"/>
      <c r="I27" s="32"/>
      <c r="J27" s="32"/>
      <c r="K27" s="32"/>
      <c r="L27" s="32">
        <f>SUM('Model'!F9:F10)</f>
        <v>31.624270904582</v>
      </c>
      <c r="M27" s="16">
        <f>'Model'!F33</f>
        <v>353.663529348085</v>
      </c>
    </row>
  </sheetData>
  <mergeCells count="1">
    <mergeCell ref="B2:M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3" customWidth="1"/>
    <col min="2" max="12" width="9.21875" style="33" customWidth="1"/>
    <col min="13" max="16384" width="16.3516" style="33" customWidth="1"/>
  </cols>
  <sheetData>
    <row r="1" ht="7.55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23">
        <v>1</v>
      </c>
      <c r="C3" t="s" s="23">
        <v>53</v>
      </c>
      <c r="D3" t="s" s="23">
        <v>54</v>
      </c>
      <c r="E3" t="s" s="23">
        <v>21</v>
      </c>
      <c r="F3" t="s" s="23">
        <v>22</v>
      </c>
      <c r="G3" t="s" s="23">
        <v>55</v>
      </c>
      <c r="H3" t="s" s="23">
        <v>11</v>
      </c>
      <c r="I3" t="s" s="23">
        <v>12</v>
      </c>
      <c r="J3" t="s" s="23">
        <v>56</v>
      </c>
      <c r="K3" t="s" s="23">
        <v>25</v>
      </c>
      <c r="L3" t="s" s="23">
        <v>35</v>
      </c>
    </row>
    <row r="4" ht="20.25" customHeight="1">
      <c r="B4" s="24">
        <v>2016</v>
      </c>
      <c r="C4" s="25">
        <v>17.6</v>
      </c>
      <c r="D4" s="26">
        <v>839</v>
      </c>
      <c r="E4" s="26">
        <f>D4-C4</f>
        <v>821.4</v>
      </c>
      <c r="F4" s="26">
        <v>611</v>
      </c>
      <c r="G4" s="26">
        <v>0</v>
      </c>
      <c r="H4" s="26">
        <v>542</v>
      </c>
      <c r="I4" s="26">
        <v>297</v>
      </c>
      <c r="J4" s="26">
        <f>H4+I4-C4-E4</f>
        <v>0</v>
      </c>
      <c r="K4" s="26">
        <f>C4-H4</f>
        <v>-524.4</v>
      </c>
      <c r="L4" s="26"/>
    </row>
    <row r="5" ht="20.05" customHeight="1">
      <c r="B5" s="27"/>
      <c r="C5" s="15">
        <v>37</v>
      </c>
      <c r="D5" s="16">
        <v>861</v>
      </c>
      <c r="E5" s="16">
        <f>D5-C5</f>
        <v>824</v>
      </c>
      <c r="F5" s="16">
        <v>622</v>
      </c>
      <c r="G5" s="16">
        <v>0</v>
      </c>
      <c r="H5" s="16">
        <v>563</v>
      </c>
      <c r="I5" s="16">
        <v>298</v>
      </c>
      <c r="J5" s="16">
        <f>H5+I5-C5-E5</f>
        <v>0</v>
      </c>
      <c r="K5" s="16">
        <f>C5-H5</f>
        <v>-526</v>
      </c>
      <c r="L5" s="16"/>
    </row>
    <row r="6" ht="20.05" customHeight="1">
      <c r="B6" s="27"/>
      <c r="C6" s="15">
        <v>21</v>
      </c>
      <c r="D6" s="16">
        <v>851</v>
      </c>
      <c r="E6" s="16">
        <f>D6-C6</f>
        <v>830</v>
      </c>
      <c r="F6" s="16">
        <v>631</v>
      </c>
      <c r="G6" s="16">
        <v>0</v>
      </c>
      <c r="H6" s="16">
        <v>551</v>
      </c>
      <c r="I6" s="16">
        <v>300</v>
      </c>
      <c r="J6" s="16">
        <f>H6+I6-C6-E6</f>
        <v>0</v>
      </c>
      <c r="K6" s="16">
        <f>C6-H6</f>
        <v>-530</v>
      </c>
      <c r="L6" s="16"/>
    </row>
    <row r="7" ht="20.05" customHeight="1">
      <c r="B7" s="27"/>
      <c r="C7" s="15">
        <v>20</v>
      </c>
      <c r="D7" s="16">
        <v>847</v>
      </c>
      <c r="E7" s="16">
        <f>D7-C7</f>
        <v>827</v>
      </c>
      <c r="F7" s="16">
        <v>641</v>
      </c>
      <c r="G7" s="16">
        <v>0</v>
      </c>
      <c r="H7" s="16">
        <v>547</v>
      </c>
      <c r="I7" s="16">
        <v>299</v>
      </c>
      <c r="J7" s="16">
        <f>H7+I7-C7-E7</f>
        <v>-1</v>
      </c>
      <c r="K7" s="16">
        <f>C7-H7</f>
        <v>-527</v>
      </c>
      <c r="L7" s="16"/>
    </row>
    <row r="8" ht="20.05" customHeight="1">
      <c r="B8" s="28">
        <v>2017</v>
      </c>
      <c r="C8" s="15">
        <v>31</v>
      </c>
      <c r="D8" s="16">
        <v>874</v>
      </c>
      <c r="E8" s="16">
        <f>D8-C8</f>
        <v>843</v>
      </c>
      <c r="F8" s="16">
        <v>651</v>
      </c>
      <c r="G8" s="16">
        <v>0</v>
      </c>
      <c r="H8" s="16">
        <v>573</v>
      </c>
      <c r="I8" s="16">
        <v>301</v>
      </c>
      <c r="J8" s="16">
        <f>H8+I8-C8-E8</f>
        <v>0</v>
      </c>
      <c r="K8" s="16">
        <f>C8-H8</f>
        <v>-542</v>
      </c>
      <c r="L8" s="16"/>
    </row>
    <row r="9" ht="20.05" customHeight="1">
      <c r="B9" s="27"/>
      <c r="C9" s="15">
        <v>28</v>
      </c>
      <c r="D9" s="16">
        <v>851</v>
      </c>
      <c r="E9" s="16">
        <f>D9-C9</f>
        <v>823</v>
      </c>
      <c r="F9" s="16">
        <v>658</v>
      </c>
      <c r="G9" s="16">
        <v>0</v>
      </c>
      <c r="H9" s="16">
        <v>548</v>
      </c>
      <c r="I9" s="16">
        <v>303</v>
      </c>
      <c r="J9" s="16">
        <f>H9+I9-C9-E9</f>
        <v>0</v>
      </c>
      <c r="K9" s="16">
        <f>C9-H9</f>
        <v>-520</v>
      </c>
      <c r="L9" s="16"/>
    </row>
    <row r="10" ht="20.05" customHeight="1">
      <c r="B10" s="27"/>
      <c r="C10" s="15">
        <v>24.4</v>
      </c>
      <c r="D10" s="16">
        <v>827</v>
      </c>
      <c r="E10" s="16">
        <f>D10-C10</f>
        <v>802.6</v>
      </c>
      <c r="F10" s="16">
        <v>665</v>
      </c>
      <c r="G10" s="16">
        <v>0</v>
      </c>
      <c r="H10" s="16">
        <v>527</v>
      </c>
      <c r="I10" s="16">
        <v>300</v>
      </c>
      <c r="J10" s="16">
        <f>H10+I10-C10-E10</f>
        <v>0</v>
      </c>
      <c r="K10" s="16">
        <f>C10-H10</f>
        <v>-502.6</v>
      </c>
      <c r="L10" s="16"/>
    </row>
    <row r="11" ht="20.05" customHeight="1">
      <c r="B11" s="27"/>
      <c r="C11" s="15">
        <v>22</v>
      </c>
      <c r="D11" s="16">
        <v>800</v>
      </c>
      <c r="E11" s="16">
        <f>D11-C11</f>
        <v>778</v>
      </c>
      <c r="F11" s="16">
        <v>667</v>
      </c>
      <c r="G11" s="16">
        <v>0</v>
      </c>
      <c r="H11" s="16">
        <v>516</v>
      </c>
      <c r="I11" s="16">
        <v>284</v>
      </c>
      <c r="J11" s="16">
        <f>H11+I11-C11-E11</f>
        <v>0</v>
      </c>
      <c r="K11" s="16">
        <f>C11-H11</f>
        <v>-494</v>
      </c>
      <c r="L11" s="16"/>
    </row>
    <row r="12" ht="20.05" customHeight="1">
      <c r="B12" s="28">
        <v>2018</v>
      </c>
      <c r="C12" s="15">
        <v>30.4</v>
      </c>
      <c r="D12" s="16">
        <v>845</v>
      </c>
      <c r="E12" s="16">
        <f>D12-C12</f>
        <v>814.6</v>
      </c>
      <c r="F12" s="16">
        <v>672</v>
      </c>
      <c r="G12" s="16">
        <v>0</v>
      </c>
      <c r="H12" s="16">
        <v>547</v>
      </c>
      <c r="I12" s="16">
        <v>298</v>
      </c>
      <c r="J12" s="16">
        <f>H12+I12-C12-E12</f>
        <v>0</v>
      </c>
      <c r="K12" s="16">
        <f>C12-H12</f>
        <v>-516.6</v>
      </c>
      <c r="L12" s="16"/>
    </row>
    <row r="13" ht="20.05" customHeight="1">
      <c r="B13" s="27"/>
      <c r="C13" s="15">
        <v>69</v>
      </c>
      <c r="D13" s="16">
        <v>867</v>
      </c>
      <c r="E13" s="16">
        <f>D13-C13</f>
        <v>798</v>
      </c>
      <c r="F13" s="16">
        <v>679</v>
      </c>
      <c r="G13" s="16">
        <v>0</v>
      </c>
      <c r="H13" s="16">
        <v>559</v>
      </c>
      <c r="I13" s="16">
        <v>308</v>
      </c>
      <c r="J13" s="16">
        <f>H13+I13-C13-E13</f>
        <v>0</v>
      </c>
      <c r="K13" s="16">
        <f>C13-H13</f>
        <v>-490</v>
      </c>
      <c r="L13" s="16"/>
    </row>
    <row r="14" ht="20.05" customHeight="1">
      <c r="B14" s="27"/>
      <c r="C14" s="15">
        <v>47</v>
      </c>
      <c r="D14" s="16">
        <v>848</v>
      </c>
      <c r="E14" s="16">
        <f>D14-C14</f>
        <v>801</v>
      </c>
      <c r="F14" s="16">
        <f>F13+'Sales'!E13</f>
        <v>686.7</v>
      </c>
      <c r="G14" s="16">
        <v>0</v>
      </c>
      <c r="H14" s="16">
        <v>484</v>
      </c>
      <c r="I14" s="16">
        <v>364</v>
      </c>
      <c r="J14" s="16">
        <f>H14+I14-C14-E14</f>
        <v>0</v>
      </c>
      <c r="K14" s="16">
        <f>C14-H14</f>
        <v>-437</v>
      </c>
      <c r="L14" s="16"/>
    </row>
    <row r="15" ht="20.05" customHeight="1">
      <c r="B15" s="27"/>
      <c r="C15" s="15">
        <v>36</v>
      </c>
      <c r="D15" s="16">
        <v>810</v>
      </c>
      <c r="E15" s="16">
        <f>D15-C15</f>
        <v>774</v>
      </c>
      <c r="F15" s="16">
        <f>682</f>
        <v>682</v>
      </c>
      <c r="G15" s="16">
        <v>0</v>
      </c>
      <c r="H15" s="16">
        <v>461</v>
      </c>
      <c r="I15" s="16">
        <v>349</v>
      </c>
      <c r="J15" s="16">
        <f>H15+I15-C15-E15</f>
        <v>0</v>
      </c>
      <c r="K15" s="16">
        <f>C15-H15</f>
        <v>-425</v>
      </c>
      <c r="L15" s="16"/>
    </row>
    <row r="16" ht="20.05" customHeight="1">
      <c r="B16" s="28">
        <v>2019</v>
      </c>
      <c r="C16" s="15">
        <v>25</v>
      </c>
      <c r="D16" s="16">
        <v>784</v>
      </c>
      <c r="E16" s="16">
        <f>D16-C16</f>
        <v>759</v>
      </c>
      <c r="F16" s="16">
        <v>689</v>
      </c>
      <c r="G16" s="16">
        <v>0</v>
      </c>
      <c r="H16" s="16">
        <v>402</v>
      </c>
      <c r="I16" s="16">
        <v>382</v>
      </c>
      <c r="J16" s="16">
        <f>H16+I16-C16-E16</f>
        <v>0</v>
      </c>
      <c r="K16" s="16">
        <f>C16-H16</f>
        <v>-377</v>
      </c>
      <c r="L16" s="16"/>
    </row>
    <row r="17" ht="20.05" customHeight="1">
      <c r="B17" s="27"/>
      <c r="C17" s="15">
        <v>20</v>
      </c>
      <c r="D17" s="16">
        <v>771</v>
      </c>
      <c r="E17" s="16">
        <f>D17-C17</f>
        <v>751</v>
      </c>
      <c r="F17" s="16">
        <v>696</v>
      </c>
      <c r="G17" s="16">
        <v>0</v>
      </c>
      <c r="H17" s="16">
        <v>402</v>
      </c>
      <c r="I17" s="16">
        <v>369</v>
      </c>
      <c r="J17" s="16">
        <f>H17+I17-C17-E17</f>
        <v>0</v>
      </c>
      <c r="K17" s="16">
        <f>C17-H17</f>
        <v>-382</v>
      </c>
      <c r="L17" s="16"/>
    </row>
    <row r="18" ht="20.05" customHeight="1">
      <c r="B18" s="27"/>
      <c r="C18" s="15">
        <v>24</v>
      </c>
      <c r="D18" s="16">
        <v>776</v>
      </c>
      <c r="E18" s="16">
        <f>D18-C18</f>
        <v>752</v>
      </c>
      <c r="F18" s="16">
        <v>699</v>
      </c>
      <c r="G18" s="16">
        <v>1</v>
      </c>
      <c r="H18" s="16">
        <v>401</v>
      </c>
      <c r="I18" s="16">
        <v>375</v>
      </c>
      <c r="J18" s="16">
        <f>H18+I18-C18-E18</f>
        <v>0</v>
      </c>
      <c r="K18" s="16">
        <f>C18-H18</f>
        <v>-377</v>
      </c>
      <c r="L18" s="16"/>
    </row>
    <row r="19" ht="20.05" customHeight="1">
      <c r="B19" s="27"/>
      <c r="C19" s="15">
        <v>19</v>
      </c>
      <c r="D19" s="16">
        <v>754</v>
      </c>
      <c r="E19" s="16">
        <f>D19-C19</f>
        <v>735</v>
      </c>
      <c r="F19" s="16">
        <f>696+1</f>
        <v>697</v>
      </c>
      <c r="G19" s="16">
        <v>2</v>
      </c>
      <c r="H19" s="16">
        <v>386</v>
      </c>
      <c r="I19" s="16">
        <v>368</v>
      </c>
      <c r="J19" s="16">
        <f>H19+I19-C19-E19</f>
        <v>0</v>
      </c>
      <c r="K19" s="16">
        <f>C19-H19</f>
        <v>-367</v>
      </c>
      <c r="L19" s="16"/>
    </row>
    <row r="20" ht="20.05" customHeight="1">
      <c r="B20" s="28">
        <v>2020</v>
      </c>
      <c r="C20" s="15">
        <v>56</v>
      </c>
      <c r="D20" s="16">
        <v>785</v>
      </c>
      <c r="E20" s="16">
        <f>D20-C20</f>
        <v>729</v>
      </c>
      <c r="F20" s="16">
        <v>703</v>
      </c>
      <c r="G20" s="16">
        <v>1</v>
      </c>
      <c r="H20" s="16">
        <v>409</v>
      </c>
      <c r="I20" s="16">
        <v>376</v>
      </c>
      <c r="J20" s="16">
        <f>H20+I20-C20-E20</f>
        <v>0</v>
      </c>
      <c r="K20" s="16">
        <f>C20-H20</f>
        <v>-353</v>
      </c>
      <c r="L20" s="16"/>
    </row>
    <row r="21" ht="20.05" customHeight="1">
      <c r="B21" s="27"/>
      <c r="C21" s="15">
        <v>50</v>
      </c>
      <c r="D21" s="16">
        <v>753</v>
      </c>
      <c r="E21" s="16">
        <f>D21-C21</f>
        <v>703</v>
      </c>
      <c r="F21" s="16">
        <f>710+1</f>
        <v>711</v>
      </c>
      <c r="G21" s="16">
        <v>1</v>
      </c>
      <c r="H21" s="16">
        <v>381</v>
      </c>
      <c r="I21" s="16">
        <v>372</v>
      </c>
      <c r="J21" s="16">
        <f>H21+I21-C21-E21</f>
        <v>0</v>
      </c>
      <c r="K21" s="16">
        <f>C21-H21</f>
        <v>-331</v>
      </c>
      <c r="L21" s="16"/>
    </row>
    <row r="22" ht="20.05" customHeight="1">
      <c r="B22" s="27"/>
      <c r="C22" s="15">
        <v>36</v>
      </c>
      <c r="D22" s="16">
        <v>727</v>
      </c>
      <c r="E22" s="16">
        <f>D22-C22</f>
        <v>691</v>
      </c>
      <c r="F22" s="16">
        <f>717</f>
        <v>717</v>
      </c>
      <c r="G22" s="16">
        <f t="shared" si="60" ref="G22:G24">2</f>
        <v>2</v>
      </c>
      <c r="H22" s="16">
        <v>353</v>
      </c>
      <c r="I22" s="16">
        <v>374</v>
      </c>
      <c r="J22" s="16">
        <f>H22+I22-C22-E22</f>
        <v>0</v>
      </c>
      <c r="K22" s="16">
        <f>C22-H22</f>
        <v>-317</v>
      </c>
      <c r="L22" s="16"/>
    </row>
    <row r="23" ht="20.05" customHeight="1">
      <c r="B23" s="27"/>
      <c r="C23" s="15">
        <v>37</v>
      </c>
      <c r="D23" s="16">
        <v>764</v>
      </c>
      <c r="E23" s="16">
        <f>D23-C23</f>
        <v>727</v>
      </c>
      <c r="F23" s="16">
        <f>740+1</f>
        <v>741</v>
      </c>
      <c r="G23" s="16">
        <f t="shared" si="60"/>
        <v>2</v>
      </c>
      <c r="H23" s="16">
        <v>387</v>
      </c>
      <c r="I23" s="19">
        <v>377</v>
      </c>
      <c r="J23" s="16">
        <f>H23+I23-C23-E23</f>
        <v>0</v>
      </c>
      <c r="K23" s="16">
        <f>C23-H23</f>
        <v>-350</v>
      </c>
      <c r="L23" s="19"/>
    </row>
    <row r="24" ht="20.05" customHeight="1">
      <c r="B24" s="28">
        <v>2021</v>
      </c>
      <c r="C24" s="15">
        <v>34</v>
      </c>
      <c r="D24" s="16">
        <v>812</v>
      </c>
      <c r="E24" s="16">
        <f>D24-C24</f>
        <v>778</v>
      </c>
      <c r="F24" s="16">
        <f>718+1</f>
        <v>719</v>
      </c>
      <c r="G24" s="16">
        <f t="shared" si="60"/>
        <v>2</v>
      </c>
      <c r="H24" s="16">
        <v>414</v>
      </c>
      <c r="I24" s="19">
        <v>398</v>
      </c>
      <c r="J24" s="16">
        <f>H24+I24-C24-E24</f>
        <v>0</v>
      </c>
      <c r="K24" s="16">
        <f>C24-H24</f>
        <v>-380</v>
      </c>
      <c r="L24" s="16"/>
    </row>
    <row r="25" ht="20.05" customHeight="1">
      <c r="B25" s="27"/>
      <c r="C25" s="15">
        <v>53</v>
      </c>
      <c r="D25" s="16">
        <v>831</v>
      </c>
      <c r="E25" s="16">
        <f>D25-C25</f>
        <v>778</v>
      </c>
      <c r="F25" s="16">
        <f>708+1</f>
        <v>709</v>
      </c>
      <c r="G25" s="16">
        <f>1</f>
        <v>1</v>
      </c>
      <c r="H25" s="16">
        <v>411</v>
      </c>
      <c r="I25" s="19">
        <v>420</v>
      </c>
      <c r="J25" s="16">
        <f>H25+I25-C25-E25</f>
        <v>0</v>
      </c>
      <c r="K25" s="16">
        <f>C25-H25</f>
        <v>-358</v>
      </c>
      <c r="L25" s="16"/>
    </row>
    <row r="26" ht="20.05" customHeight="1">
      <c r="B26" s="27"/>
      <c r="C26" s="15">
        <v>44</v>
      </c>
      <c r="D26" s="16">
        <v>847</v>
      </c>
      <c r="E26" s="16">
        <f>D26-C26</f>
        <v>803</v>
      </c>
      <c r="F26" s="16">
        <f>693</f>
        <v>693</v>
      </c>
      <c r="G26" s="16">
        <v>1</v>
      </c>
      <c r="H26" s="16">
        <v>413</v>
      </c>
      <c r="I26" s="19">
        <v>434</v>
      </c>
      <c r="J26" s="16">
        <f>H26+I26-C26-E26</f>
        <v>0</v>
      </c>
      <c r="K26" s="16">
        <f>C26-H26</f>
        <v>-369</v>
      </c>
      <c r="L26" s="16">
        <f>K26</f>
        <v>-369</v>
      </c>
    </row>
    <row r="27" ht="20.05" customHeight="1">
      <c r="B27" s="27"/>
      <c r="C27" s="15"/>
      <c r="D27" s="16"/>
      <c r="E27" s="16">
        <f>D27-C27</f>
        <v>0</v>
      </c>
      <c r="F27" s="16"/>
      <c r="G27" s="16"/>
      <c r="H27" s="16"/>
      <c r="I27" s="19"/>
      <c r="J27" s="16"/>
      <c r="K27" s="16"/>
      <c r="L27" s="16">
        <f>'Model'!F30</f>
        <v>-279.981557607660</v>
      </c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7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4" customWidth="1"/>
    <col min="2" max="4" width="9.9375" style="34" customWidth="1"/>
    <col min="5" max="16384" width="16.3516" style="34" customWidth="1"/>
  </cols>
  <sheetData>
    <row r="1" ht="30.75" customHeight="1"/>
    <row r="2" ht="27.65" customHeight="1">
      <c r="B2" t="s" s="2">
        <v>57</v>
      </c>
      <c r="C2" s="2"/>
      <c r="D2" s="2"/>
    </row>
    <row r="3" ht="20.25" customHeight="1">
      <c r="B3" s="5"/>
      <c r="C3" t="s" s="4">
        <v>58</v>
      </c>
      <c r="D3" t="s" s="4">
        <v>38</v>
      </c>
    </row>
    <row r="4" ht="20.25" customHeight="1">
      <c r="B4" s="24">
        <v>2016</v>
      </c>
      <c r="C4" s="35">
        <v>655</v>
      </c>
      <c r="D4" s="8"/>
    </row>
    <row r="5" ht="20.05" customHeight="1">
      <c r="B5" s="27"/>
      <c r="C5" s="36">
        <v>660</v>
      </c>
      <c r="D5" s="18"/>
    </row>
    <row r="6" ht="20.05" customHeight="1">
      <c r="B6" s="27"/>
      <c r="C6" s="36">
        <v>700</v>
      </c>
      <c r="D6" s="18"/>
    </row>
    <row r="7" ht="20.05" customHeight="1">
      <c r="B7" s="27"/>
      <c r="C7" s="36">
        <v>715</v>
      </c>
      <c r="D7" s="18"/>
    </row>
    <row r="8" ht="20.05" customHeight="1">
      <c r="B8" s="27"/>
      <c r="C8" s="36">
        <v>720</v>
      </c>
      <c r="D8" s="18"/>
    </row>
    <row r="9" ht="20.05" customHeight="1">
      <c r="B9" s="27"/>
      <c r="C9" s="36">
        <v>690</v>
      </c>
      <c r="D9" s="18"/>
    </row>
    <row r="10" ht="20.05" customHeight="1">
      <c r="B10" s="27"/>
      <c r="C10" s="36">
        <v>690</v>
      </c>
      <c r="D10" s="18"/>
    </row>
    <row r="11" ht="20.05" customHeight="1">
      <c r="B11" s="27"/>
      <c r="C11" s="36">
        <v>690</v>
      </c>
      <c r="D11" s="18"/>
    </row>
    <row r="12" ht="20.05" customHeight="1">
      <c r="B12" s="27"/>
      <c r="C12" s="36">
        <v>655</v>
      </c>
      <c r="D12" s="18"/>
    </row>
    <row r="13" ht="20.05" customHeight="1">
      <c r="B13" s="27"/>
      <c r="C13" s="36">
        <v>790</v>
      </c>
      <c r="D13" s="18"/>
    </row>
    <row r="14" ht="20.05" customHeight="1">
      <c r="B14" s="27"/>
      <c r="C14" s="36">
        <v>970</v>
      </c>
      <c r="D14" s="18"/>
    </row>
    <row r="15" ht="20.05" customHeight="1">
      <c r="B15" s="27"/>
      <c r="C15" s="36">
        <v>810</v>
      </c>
      <c r="D15" s="18"/>
    </row>
    <row r="16" ht="20.05" customHeight="1">
      <c r="B16" s="28">
        <v>2017</v>
      </c>
      <c r="C16" s="36">
        <v>725</v>
      </c>
      <c r="D16" s="18"/>
    </row>
    <row r="17" ht="20.05" customHeight="1">
      <c r="B17" s="27"/>
      <c r="C17" s="36">
        <v>950</v>
      </c>
      <c r="D17" s="18"/>
    </row>
    <row r="18" ht="20.05" customHeight="1">
      <c r="B18" s="27"/>
      <c r="C18" s="36">
        <v>835</v>
      </c>
      <c r="D18" s="18"/>
    </row>
    <row r="19" ht="20.05" customHeight="1">
      <c r="B19" s="27"/>
      <c r="C19" s="36">
        <v>795</v>
      </c>
      <c r="D19" s="18"/>
    </row>
    <row r="20" ht="20.05" customHeight="1">
      <c r="B20" s="27"/>
      <c r="C20" s="37">
        <v>1300</v>
      </c>
      <c r="D20" s="18"/>
    </row>
    <row r="21" ht="20.05" customHeight="1">
      <c r="B21" s="27"/>
      <c r="C21" s="37">
        <v>1250</v>
      </c>
      <c r="D21" s="18"/>
    </row>
    <row r="22" ht="20.05" customHeight="1">
      <c r="B22" s="27"/>
      <c r="C22" s="37">
        <v>1075</v>
      </c>
      <c r="D22" s="18"/>
    </row>
    <row r="23" ht="20.05" customHeight="1">
      <c r="B23" s="27"/>
      <c r="C23" s="37">
        <v>1015</v>
      </c>
      <c r="D23" s="18"/>
    </row>
    <row r="24" ht="20.05" customHeight="1">
      <c r="B24" s="27"/>
      <c r="C24" s="37">
        <v>1040</v>
      </c>
      <c r="D24" s="18"/>
    </row>
    <row r="25" ht="20.05" customHeight="1">
      <c r="B25" s="27"/>
      <c r="C25" s="37">
        <v>1310</v>
      </c>
      <c r="D25" s="18"/>
    </row>
    <row r="26" ht="20.05" customHeight="1">
      <c r="B26" s="27"/>
      <c r="C26" s="37">
        <v>1300</v>
      </c>
      <c r="D26" s="18"/>
    </row>
    <row r="27" ht="20.05" customHeight="1">
      <c r="B27" s="27"/>
      <c r="C27" s="37">
        <v>1250</v>
      </c>
      <c r="D27" s="18"/>
    </row>
    <row r="28" ht="20.05" customHeight="1">
      <c r="B28" s="28">
        <v>2018</v>
      </c>
      <c r="C28" s="37">
        <v>1290</v>
      </c>
      <c r="D28" s="18"/>
    </row>
    <row r="29" ht="20.05" customHeight="1">
      <c r="B29" s="27"/>
      <c r="C29" s="37">
        <v>1400</v>
      </c>
      <c r="D29" s="18"/>
    </row>
    <row r="30" ht="20.05" customHeight="1">
      <c r="B30" s="27"/>
      <c r="C30" s="37">
        <v>1400</v>
      </c>
      <c r="D30" s="18"/>
    </row>
    <row r="31" ht="20.05" customHeight="1">
      <c r="B31" s="27"/>
      <c r="C31" s="37">
        <v>1205</v>
      </c>
      <c r="D31" s="18"/>
    </row>
    <row r="32" ht="20.05" customHeight="1">
      <c r="B32" s="27"/>
      <c r="C32" s="37">
        <v>3480</v>
      </c>
      <c r="D32" s="18"/>
    </row>
    <row r="33" ht="20.05" customHeight="1">
      <c r="B33" s="27"/>
      <c r="C33" s="37">
        <v>6450</v>
      </c>
      <c r="D33" s="18"/>
    </row>
    <row r="34" ht="20.05" customHeight="1">
      <c r="B34" s="27"/>
      <c r="C34" s="37">
        <v>6700</v>
      </c>
      <c r="D34" s="18"/>
    </row>
    <row r="35" ht="20.05" customHeight="1">
      <c r="B35" s="27"/>
      <c r="C35" s="37">
        <v>6200</v>
      </c>
      <c r="D35" s="18"/>
    </row>
    <row r="36" ht="20.05" customHeight="1">
      <c r="B36" s="27"/>
      <c r="C36" s="37">
        <v>5400</v>
      </c>
      <c r="D36" s="18"/>
    </row>
    <row r="37" ht="20.05" customHeight="1">
      <c r="B37" s="27"/>
      <c r="C37" s="37">
        <v>4150</v>
      </c>
      <c r="D37" s="18"/>
    </row>
    <row r="38" ht="20.05" customHeight="1">
      <c r="B38" s="27"/>
      <c r="C38" s="37">
        <v>5700</v>
      </c>
      <c r="D38" s="18"/>
    </row>
    <row r="39" ht="20.05" customHeight="1">
      <c r="B39" s="27"/>
      <c r="C39" s="37">
        <v>5925</v>
      </c>
      <c r="D39" s="18"/>
    </row>
    <row r="40" ht="20.05" customHeight="1">
      <c r="B40" s="28">
        <v>2019</v>
      </c>
      <c r="C40" s="37">
        <v>6925</v>
      </c>
      <c r="D40" s="18"/>
    </row>
    <row r="41" ht="20.05" customHeight="1">
      <c r="B41" s="27"/>
      <c r="C41" s="37">
        <v>6400</v>
      </c>
      <c r="D41" s="18"/>
    </row>
    <row r="42" ht="20.05" customHeight="1">
      <c r="B42" s="27"/>
      <c r="C42" s="37">
        <v>6200</v>
      </c>
      <c r="D42" s="18"/>
    </row>
    <row r="43" ht="20.05" customHeight="1">
      <c r="B43" s="27"/>
      <c r="C43" s="37">
        <v>4670</v>
      </c>
      <c r="D43" s="18"/>
    </row>
    <row r="44" ht="20.05" customHeight="1">
      <c r="B44" s="27"/>
      <c r="C44" s="37">
        <v>5100</v>
      </c>
      <c r="D44" s="18"/>
    </row>
    <row r="45" ht="20.05" customHeight="1">
      <c r="B45" s="27"/>
      <c r="C45" s="37">
        <v>4880</v>
      </c>
      <c r="D45" s="18"/>
    </row>
    <row r="46" ht="20.05" customHeight="1">
      <c r="B46" s="27"/>
      <c r="C46" s="37">
        <v>4480</v>
      </c>
      <c r="D46" s="18"/>
    </row>
    <row r="47" ht="20.05" customHeight="1">
      <c r="B47" s="27"/>
      <c r="C47" s="37">
        <v>4100</v>
      </c>
      <c r="D47" s="18"/>
    </row>
    <row r="48" ht="20.05" customHeight="1">
      <c r="B48" s="27"/>
      <c r="C48" s="37">
        <v>3570</v>
      </c>
      <c r="D48" s="18"/>
    </row>
    <row r="49" ht="20.05" customHeight="1">
      <c r="B49" s="27"/>
      <c r="C49" s="37">
        <v>3670</v>
      </c>
      <c r="D49" s="18"/>
    </row>
    <row r="50" ht="20.05" customHeight="1">
      <c r="B50" s="27"/>
      <c r="C50" s="37">
        <v>2720</v>
      </c>
      <c r="D50" s="18"/>
    </row>
    <row r="51" ht="20.05" customHeight="1">
      <c r="B51" s="27"/>
      <c r="C51" s="37">
        <v>2430</v>
      </c>
      <c r="D51" s="18"/>
    </row>
    <row r="52" ht="20.05" customHeight="1">
      <c r="B52" s="28">
        <v>2020</v>
      </c>
      <c r="C52" s="37">
        <v>2350</v>
      </c>
      <c r="D52" s="18"/>
    </row>
    <row r="53" ht="20.05" customHeight="1">
      <c r="B53" s="27"/>
      <c r="C53" s="37">
        <v>1810</v>
      </c>
      <c r="D53" s="18"/>
    </row>
    <row r="54" ht="20.05" customHeight="1">
      <c r="B54" s="27"/>
      <c r="C54" s="37">
        <v>1680</v>
      </c>
      <c r="D54" s="18"/>
    </row>
    <row r="55" ht="20.05" customHeight="1">
      <c r="B55" s="27"/>
      <c r="C55" s="37">
        <v>2100</v>
      </c>
      <c r="D55" s="18"/>
    </row>
    <row r="56" ht="20.05" customHeight="1">
      <c r="B56" s="27"/>
      <c r="C56" s="37">
        <v>2270</v>
      </c>
      <c r="D56" s="18"/>
    </row>
    <row r="57" ht="20.05" customHeight="1">
      <c r="B57" s="27"/>
      <c r="C57" s="37">
        <v>2200</v>
      </c>
      <c r="D57" s="18"/>
    </row>
    <row r="58" ht="20.05" customHeight="1">
      <c r="B58" s="27"/>
      <c r="C58" s="37">
        <v>2390</v>
      </c>
      <c r="D58" s="18"/>
    </row>
    <row r="59" ht="20.05" customHeight="1">
      <c r="B59" s="27"/>
      <c r="C59" s="37">
        <v>2180</v>
      </c>
      <c r="D59" s="18"/>
    </row>
    <row r="60" ht="20.05" customHeight="1">
      <c r="B60" s="27"/>
      <c r="C60" s="37">
        <v>2150</v>
      </c>
      <c r="D60" s="18"/>
    </row>
    <row r="61" ht="20.05" customHeight="1">
      <c r="B61" s="27"/>
      <c r="C61" s="37">
        <v>2150</v>
      </c>
      <c r="D61" s="18"/>
    </row>
    <row r="62" ht="20.05" customHeight="1">
      <c r="B62" s="27"/>
      <c r="C62" s="37">
        <v>3000</v>
      </c>
      <c r="D62" s="18"/>
    </row>
    <row r="63" ht="20.05" customHeight="1">
      <c r="B63" s="27"/>
      <c r="C63" s="37">
        <v>3050</v>
      </c>
      <c r="D63" s="18"/>
    </row>
    <row r="64" ht="20.05" customHeight="1">
      <c r="B64" s="28">
        <v>2021</v>
      </c>
      <c r="C64" s="37">
        <v>2660</v>
      </c>
      <c r="D64" s="18"/>
    </row>
    <row r="65" ht="20.05" customHeight="1">
      <c r="B65" s="27"/>
      <c r="C65" s="37">
        <v>3130</v>
      </c>
      <c r="D65" s="38"/>
    </row>
    <row r="66" ht="20.05" customHeight="1">
      <c r="B66" s="27"/>
      <c r="C66" s="37">
        <v>3450</v>
      </c>
      <c r="D66" s="38"/>
    </row>
    <row r="67" ht="20.05" customHeight="1">
      <c r="B67" s="27"/>
      <c r="C67" s="37">
        <v>3800</v>
      </c>
      <c r="D67" s="38"/>
    </row>
    <row r="68" ht="20.05" customHeight="1">
      <c r="B68" s="27"/>
      <c r="C68" s="37">
        <v>4710</v>
      </c>
      <c r="D68" s="38"/>
    </row>
    <row r="69" ht="20.05" customHeight="1">
      <c r="B69" s="27"/>
      <c r="C69" s="37">
        <v>4180</v>
      </c>
      <c r="D69" s="38"/>
    </row>
    <row r="70" ht="20.05" customHeight="1">
      <c r="B70" s="27"/>
      <c r="C70" s="37">
        <v>3750</v>
      </c>
      <c r="D70" s="38"/>
    </row>
    <row r="71" ht="20.05" customHeight="1">
      <c r="B71" s="27"/>
      <c r="C71" s="37">
        <v>4090</v>
      </c>
      <c r="D71" s="18"/>
    </row>
    <row r="72" ht="20.05" customHeight="1">
      <c r="B72" s="27"/>
      <c r="C72" s="37">
        <v>4250</v>
      </c>
      <c r="D72" s="18"/>
    </row>
    <row r="73" ht="20.05" customHeight="1">
      <c r="B73" s="27"/>
      <c r="C73" s="37">
        <v>4700</v>
      </c>
      <c r="D73" s="38"/>
    </row>
    <row r="74" ht="20.05" customHeight="1">
      <c r="B74" s="27"/>
      <c r="C74" s="37">
        <v>4690</v>
      </c>
      <c r="D74" s="39">
        <f>C74</f>
        <v>4690</v>
      </c>
    </row>
    <row r="75" ht="20.05" customHeight="1">
      <c r="B75" s="27"/>
      <c r="C75" s="37"/>
      <c r="D75" s="39">
        <f>'Model'!F44</f>
        <v>12063.6667633615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