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media/image1.jpeg" ContentType="image/jpeg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 " sheetId="3" r:id="rId6"/>
    <sheet name="Balance sheet" sheetId="4" r:id="rId7"/>
    <sheet name="INCO" sheetId="5" r:id="rId8"/>
  </sheets>
</workbook>
</file>

<file path=xl/sharedStrings.xml><?xml version="1.0" encoding="utf-8"?>
<sst xmlns="http://schemas.openxmlformats.org/spreadsheetml/2006/main" uniqueCount="66">
  <si>
    <t>Financial model</t>
  </si>
  <si>
    <t>$m</t>
  </si>
  <si>
    <t>4Q 2021</t>
  </si>
  <si>
    <t xml:space="preserve">Cashflow </t>
  </si>
  <si>
    <t>Growth</t>
  </si>
  <si>
    <t>Sales</t>
  </si>
  <si>
    <t>Cash cost ratio</t>
  </si>
  <si>
    <t>Cash costs</t>
  </si>
  <si>
    <t>Operating</t>
  </si>
  <si>
    <t>Investment</t>
  </si>
  <si>
    <t>Finance</t>
  </si>
  <si>
    <t xml:space="preserve">Liabilities </t>
  </si>
  <si>
    <t>Equity</t>
  </si>
  <si>
    <t xml:space="preserve">Before revolver </t>
  </si>
  <si>
    <t xml:space="preserve">Revolver </t>
  </si>
  <si>
    <t>Beginning</t>
  </si>
  <si>
    <t>Change</t>
  </si>
  <si>
    <t>Ending</t>
  </si>
  <si>
    <t>Profit</t>
  </si>
  <si>
    <t xml:space="preserve">Non cash costs </t>
  </si>
  <si>
    <t xml:space="preserve">Net profit </t>
  </si>
  <si>
    <t>Balance sheet</t>
  </si>
  <si>
    <t>Other assets</t>
  </si>
  <si>
    <t xml:space="preserve">Depreciation </t>
  </si>
  <si>
    <t>Net other assets</t>
  </si>
  <si>
    <t>Check</t>
  </si>
  <si>
    <t xml:space="preserve">Net cash </t>
  </si>
  <si>
    <t xml:space="preserve">Valuation </t>
  </si>
  <si>
    <t xml:space="preserve">Rupiah </t>
  </si>
  <si>
    <t xml:space="preserve">Capital </t>
  </si>
  <si>
    <t xml:space="preserve">Current value </t>
  </si>
  <si>
    <t>P/assets</t>
  </si>
  <si>
    <t>Yield</t>
  </si>
  <si>
    <t xml:space="preserve">Payback </t>
  </si>
  <si>
    <t xml:space="preserve">Forecast </t>
  </si>
  <si>
    <t xml:space="preserve">Value </t>
  </si>
  <si>
    <t>Shares</t>
  </si>
  <si>
    <t xml:space="preserve">Target </t>
  </si>
  <si>
    <t xml:space="preserve">Current </t>
  </si>
  <si>
    <t xml:space="preserve">V target </t>
  </si>
  <si>
    <t xml:space="preserve">12 month growth </t>
  </si>
  <si>
    <t xml:space="preserve">Sales forecasts </t>
  </si>
  <si>
    <t xml:space="preserve">Sales </t>
  </si>
  <si>
    <t>Sales growth</t>
  </si>
  <si>
    <t xml:space="preserve">Cost ratio </t>
  </si>
  <si>
    <t xml:space="preserve">Cashflow costs </t>
  </si>
  <si>
    <t>Cashflow</t>
  </si>
  <si>
    <t>Cash receipts</t>
  </si>
  <si>
    <t>Interest</t>
  </si>
  <si>
    <t xml:space="preserve">Operating </t>
  </si>
  <si>
    <t xml:space="preserve">Investment </t>
  </si>
  <si>
    <t xml:space="preserve">Free cashflow </t>
  </si>
  <si>
    <t>Capital</t>
  </si>
  <si>
    <t>Assets</t>
  </si>
  <si>
    <t>Cash</t>
  </si>
  <si>
    <t xml:space="preserve">Assets </t>
  </si>
  <si>
    <t xml:space="preserve">Equity </t>
  </si>
  <si>
    <t xml:space="preserve">Check </t>
  </si>
  <si>
    <t>Vale Indonesia Tbk (INCO) Historical Prices - Investing.com</t>
  </si>
  <si>
    <t>Date</t>
  </si>
  <si>
    <t>INCO</t>
  </si>
  <si>
    <t>Target</t>
  </si>
  <si>
    <t>Table 2</t>
  </si>
  <si>
    <t xml:space="preserve">Palm oil USD </t>
  </si>
  <si>
    <t>AALI</t>
  </si>
  <si>
    <t>Nickel</t>
  </si>
</sst>
</file>

<file path=xl/styles.xml><?xml version="1.0" encoding="utf-8"?>
<styleSheet xmlns="http://schemas.openxmlformats.org/spreadsheetml/2006/main">
  <numFmts count="5">
    <numFmt numFmtId="0" formatCode="General"/>
    <numFmt numFmtId="59" formatCode="#,##0%"/>
    <numFmt numFmtId="60" formatCode="#,##0.0"/>
    <numFmt numFmtId="61" formatCode="#,##0%_);[Red]\(#,##0%\)"/>
    <numFmt numFmtId="62" formatCode="#,##0.0%"/>
  </numFmts>
  <fonts count="4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hadow val="1"/>
      <sz val="12"/>
      <color indexed="14"/>
      <name val="Helvetica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53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49" fontId="0" fillId="4" borderId="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8" fontId="0" borderId="3" applyNumberFormat="1" applyFont="1" applyFill="0" applyBorder="1" applyAlignment="1" applyProtection="0">
      <alignment vertical="top" wrapText="1"/>
    </xf>
    <xf numFmtId="38" fontId="0" borderId="4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61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/>
    </xf>
    <xf numFmtId="49" fontId="2" fillId="2" borderId="1" applyNumberFormat="1" applyFont="1" applyFill="1" applyBorder="1" applyAlignment="1" applyProtection="0">
      <alignment vertical="top"/>
    </xf>
    <xf numFmtId="0" fontId="2" fillId="4" borderId="2" applyNumberFormat="1" applyFont="1" applyFill="1" applyBorder="1" applyAlignment="1" applyProtection="0">
      <alignment vertical="top"/>
    </xf>
    <xf numFmtId="3" fontId="0" borderId="3" applyNumberFormat="1" applyFont="1" applyFill="0" applyBorder="1" applyAlignment="1" applyProtection="0">
      <alignment vertical="top"/>
    </xf>
    <xf numFmtId="0" fontId="0" borderId="4" applyNumberFormat="0" applyFont="1" applyFill="0" applyBorder="1" applyAlignment="1" applyProtection="0">
      <alignment vertical="top"/>
    </xf>
    <xf numFmtId="0" fontId="2" fillId="4" borderId="5" applyNumberFormat="0" applyFont="1" applyFill="1" applyBorder="1" applyAlignment="1" applyProtection="0">
      <alignment vertical="top"/>
    </xf>
    <xf numFmtId="3" fontId="0" borderId="6" applyNumberFormat="1" applyFont="1" applyFill="0" applyBorder="1" applyAlignment="1" applyProtection="0">
      <alignment vertical="top"/>
    </xf>
    <xf numFmtId="0" fontId="0" borderId="7" applyNumberFormat="0" applyFont="1" applyFill="0" applyBorder="1" applyAlignment="1" applyProtection="0">
      <alignment vertical="top"/>
    </xf>
    <xf numFmtId="0" fontId="2" fillId="4" borderId="5" applyNumberFormat="1" applyFont="1" applyFill="1" applyBorder="1" applyAlignment="1" applyProtection="0">
      <alignment vertical="top"/>
    </xf>
    <xf numFmtId="3" fontId="0" borderId="7" applyNumberFormat="1" applyFont="1" applyFill="0" applyBorder="1" applyAlignment="1" applyProtection="0">
      <alignment vertical="top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62" fontId="0" borderId="7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horizontal="right" vertical="top" wrapText="1"/>
    </xf>
    <xf numFmtId="1" fontId="0" borderId="7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ffffff"/>
      <rgbColor rgb="ffb8b8b8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154786"/>
          <c:y val="0.12368"/>
          <c:w val="0.710723"/>
          <c:h val="0.810337"/>
        </c:manualLayout>
      </c:layout>
      <c:lineChart>
        <c:grouping val="standard"/>
        <c:varyColors val="0"/>
        <c:ser>
          <c:idx val="0"/>
          <c:order val="0"/>
          <c:tx>
            <c:strRef>
              <c:f>'INCO'!$H$101</c:f>
              <c:strCache/>
            </c:strRef>
          </c:tx>
          <c:spPr>
            <a:solidFill>
              <a:srgbClr val="FFFFFF"/>
            </a:solidFill>
            <a:ln w="50800" cap="flat">
              <a:solidFill>
                <a:schemeClr val="accent1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1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effectLst>
                      <a:outerShdw sx="100000" sy="100000" kx="0" ky="0" algn="tl" rotWithShape="1" blurRad="127000" dist="20658" dir="5193911">
                        <a:srgbClr val="000000">
                          <a:alpha val="41877"/>
                        </a:srgbClr>
                      </a:outerShdw>
                    </a:effectLst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'INCO'!$E$102:$E$186</c:f>
              <c:strCache>
                <c:ptCount val="0"/>
              </c:strCache>
            </c:strRef>
          </c:cat>
          <c:val>
            <c:numRef>
              <c:f>'INCO'!$H$102:$H$186</c:f>
              <c:numCache>
                <c:ptCount val="0"/>
              </c:numCache>
            </c:numRef>
          </c:val>
          <c:smooth val="0"/>
        </c:ser>
        <c:marker val="1"/>
        <c:axId val="2094734552"/>
        <c:axId val="2094734553"/>
      </c:lineChart>
      <c:lineChart>
        <c:grouping val="standard"/>
        <c:varyColors val="0"/>
        <c:ser>
          <c:idx val="1"/>
          <c:order val="1"/>
          <c:tx>
            <c:strRef>
              <c:f>'INCO'!$I$101</c:f>
              <c:strCache/>
            </c:strRef>
          </c:tx>
          <c:spPr>
            <a:solidFill>
              <a:srgbClr val="FFFFFF"/>
            </a:solidFill>
            <a:ln w="50800" cap="flat">
              <a:solidFill>
                <a:schemeClr val="accent3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3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effectLst>
                      <a:outerShdw sx="100000" sy="100000" kx="0" ky="0" algn="tl" rotWithShape="1" blurRad="127000" dist="20658" dir="5193911">
                        <a:srgbClr val="000000">
                          <a:alpha val="41877"/>
                        </a:srgbClr>
                      </a:outerShdw>
                    </a:effectLst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'INCO'!$E$102:$E$186</c:f>
              <c:strCache>
                <c:ptCount val="0"/>
              </c:strCache>
            </c:strRef>
          </c:cat>
          <c:val>
            <c:numRef>
              <c:f>'INCO'!$I$102:$I$186</c:f>
              <c:numCache>
                <c:ptCount val="0"/>
              </c:numCache>
            </c:numRef>
          </c:val>
          <c:smooth val="0"/>
        </c:ser>
        <c:marker val="1"/>
        <c:axId val="2094734555"/>
        <c:axId val="2094734556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  <c:min val="6000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3500"/>
        <c:minorUnit val="1750"/>
      </c:valAx>
      <c:catAx>
        <c:axId val="2094734555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12700" cap="flat">
            <a:noFill/>
            <a:prstDash val="solid"/>
            <a:miter lim="400000"/>
          </a:ln>
        </c:spPr>
        <c:crossAx val="2094734556"/>
        <c:crosses val="autoZero"/>
        <c:auto val="1"/>
        <c:lblAlgn val="ctr"/>
        <c:noMultiLvlLbl val="1"/>
      </c:catAx>
      <c:valAx>
        <c:axId val="2094734556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5"/>
        <c:crosses val="max"/>
        <c:crossBetween val="between"/>
        <c:majorUnit val="1500"/>
        <c:minorUnit val="750"/>
      </c:valAx>
      <c:spPr>
        <a:noFill/>
        <a:ln w="12700" cap="flat">
          <a:noFill/>
          <a:miter lim="400000"/>
        </a:ln>
        <a:effectLst/>
      </c:spPr>
    </c:plotArea>
    <c:legend>
      <c:legendPos val="t"/>
      <c:layout>
        <c:manualLayout>
          <c:xMode val="edge"/>
          <c:yMode val="edge"/>
          <c:x val="0.0882248"/>
          <c:y val="0"/>
          <c:w val="0.213535"/>
          <c:h val="0.103133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133638"/>
          <c:y val="0.12368"/>
          <c:w val="0.712557"/>
          <c:h val="0.810337"/>
        </c:manualLayout>
      </c:layout>
      <c:lineChart>
        <c:grouping val="standard"/>
        <c:varyColors val="0"/>
        <c:ser>
          <c:idx val="0"/>
          <c:order val="0"/>
          <c:tx>
            <c:strRef>
              <c:f>'INCO'!$F$101</c:f>
              <c:strCache/>
            </c:strRef>
          </c:tx>
          <c:spPr>
            <a:solidFill>
              <a:srgbClr val="FFFFFF"/>
            </a:solidFill>
            <a:ln w="50800" cap="flat">
              <a:solidFill>
                <a:schemeClr val="accent1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1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effectLst>
                      <a:outerShdw sx="100000" sy="100000" kx="0" ky="0" algn="tl" rotWithShape="1" blurRad="127000" dist="20658" dir="5193911">
                        <a:srgbClr val="000000">
                          <a:alpha val="41877"/>
                        </a:srgbClr>
                      </a:outerShdw>
                    </a:effectLst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'INCO'!$E$102:$E$186</c:f>
              <c:strCache>
                <c:ptCount val="0"/>
              </c:strCache>
            </c:strRef>
          </c:cat>
          <c:val>
            <c:numRef>
              <c:f>'INCO'!$F$102:$F$186</c:f>
              <c:numCache>
                <c:ptCount val="0"/>
              </c:numCache>
            </c:numRef>
          </c:val>
          <c:smooth val="0"/>
        </c:ser>
        <c:marker val="1"/>
        <c:axId val="2094734552"/>
        <c:axId val="2094734553"/>
      </c:lineChart>
      <c:lineChart>
        <c:grouping val="standard"/>
        <c:varyColors val="0"/>
        <c:ser>
          <c:idx val="1"/>
          <c:order val="1"/>
          <c:tx>
            <c:strRef>
              <c:f>'INCO'!$G$101</c:f>
              <c:strCache/>
            </c:strRef>
          </c:tx>
          <c:spPr>
            <a:solidFill>
              <a:srgbClr val="FFFFFF"/>
            </a:solidFill>
            <a:ln w="50800" cap="flat">
              <a:solidFill>
                <a:schemeClr val="accent3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3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effectLst>
                      <a:outerShdw sx="100000" sy="100000" kx="0" ky="0" algn="tl" rotWithShape="1" blurRad="127000" dist="20658" dir="5193911">
                        <a:srgbClr val="000000">
                          <a:alpha val="41877"/>
                        </a:srgbClr>
                      </a:outerShdw>
                    </a:effectLst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'INCO'!$E$102:$E$186</c:f>
              <c:strCache>
                <c:ptCount val="0"/>
              </c:strCache>
            </c:strRef>
          </c:cat>
          <c:val>
            <c:numRef>
              <c:f>'INCO'!$G$102:$G$186</c:f>
              <c:numCache>
                <c:ptCount val="0"/>
              </c:numCache>
            </c:numRef>
          </c:val>
          <c:smooth val="0"/>
        </c:ser>
        <c:marker val="1"/>
        <c:axId val="2094734555"/>
        <c:axId val="2094734556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  <c:min val="300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175"/>
        <c:minorUnit val="87.5"/>
      </c:valAx>
      <c:catAx>
        <c:axId val="2094734555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12700" cap="flat">
            <a:noFill/>
            <a:prstDash val="solid"/>
            <a:miter lim="400000"/>
          </a:ln>
        </c:spPr>
        <c:crossAx val="2094734556"/>
        <c:crosses val="autoZero"/>
        <c:auto val="1"/>
        <c:lblAlgn val="ctr"/>
        <c:noMultiLvlLbl val="1"/>
      </c:catAx>
      <c:valAx>
        <c:axId val="2094734556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5"/>
        <c:crosses val="max"/>
        <c:crossBetween val="between"/>
        <c:majorUnit val="7500"/>
        <c:minorUnit val="3750"/>
      </c:valAx>
      <c:spPr>
        <a:noFill/>
        <a:ln w="12700" cap="flat">
          <a:noFill/>
          <a:miter lim="400000"/>
        </a:ln>
        <a:effectLst/>
      </c:spPr>
    </c:plotArea>
    <c:legend>
      <c:legendPos val="t"/>
      <c:layout>
        <c:manualLayout>
          <c:xMode val="edge"/>
          <c:yMode val="edge"/>
          <c:x val="0.0466094"/>
          <c:y val="0"/>
          <c:w val="0.404426"/>
          <c:h val="0.103133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661660</xdr:colOff>
      <xdr:row>2</xdr:row>
      <xdr:rowOff>90853</xdr:rowOff>
    </xdr:from>
    <xdr:to>
      <xdr:col>13</xdr:col>
      <xdr:colOff>637996</xdr:colOff>
      <xdr:row>45</xdr:row>
      <xdr:rowOff>239802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928860" y="735378"/>
          <a:ext cx="8688537" cy="1110333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32</xdr:col>
      <xdr:colOff>548841</xdr:colOff>
      <xdr:row>26</xdr:row>
      <xdr:rowOff>83318</xdr:rowOff>
    </xdr:from>
    <xdr:to>
      <xdr:col>38</xdr:col>
      <xdr:colOff>218123</xdr:colOff>
      <xdr:row>41</xdr:row>
      <xdr:rowOff>73793</xdr:rowOff>
    </xdr:to>
    <xdr:graphicFrame>
      <xdr:nvGraphicFramePr>
        <xdr:cNvPr id="4" name="2 Axis Chart"/>
        <xdr:cNvGraphicFramePr/>
      </xdr:nvGraphicFramePr>
      <xdr:xfrm>
        <a:off x="28057041" y="6913378"/>
        <a:ext cx="3479283" cy="3810001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38</xdr:col>
      <xdr:colOff>260042</xdr:colOff>
      <xdr:row>26</xdr:row>
      <xdr:rowOff>83318</xdr:rowOff>
    </xdr:from>
    <xdr:to>
      <xdr:col>43</xdr:col>
      <xdr:colOff>586516</xdr:colOff>
      <xdr:row>41</xdr:row>
      <xdr:rowOff>73793</xdr:rowOff>
    </xdr:to>
    <xdr:graphicFrame>
      <xdr:nvGraphicFramePr>
        <xdr:cNvPr id="5" name="2 Axis Chart"/>
        <xdr:cNvGraphicFramePr/>
      </xdr:nvGraphicFramePr>
      <xdr:xfrm>
        <a:off x="31578242" y="6913378"/>
        <a:ext cx="3501475" cy="3810001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7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35938" style="1" customWidth="1"/>
    <col min="2" max="2" width="15.3125" style="1" customWidth="1"/>
    <col min="3" max="6" width="8.875" style="1" customWidth="1"/>
    <col min="7" max="16384" width="16.3516" style="1" customWidth="1"/>
  </cols>
  <sheetData>
    <row r="1" ht="23.1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t="s" s="4">
        <v>2</v>
      </c>
      <c r="D3" s="5"/>
      <c r="E3" s="5"/>
      <c r="F3" s="6"/>
    </row>
    <row r="4" ht="20.25" customHeight="1">
      <c r="B4" t="s" s="7">
        <v>3</v>
      </c>
      <c r="C4" s="8">
        <f>AVERAGE('Sales'!G26:G29)</f>
        <v>0.0324200071535791</v>
      </c>
      <c r="D4" s="9"/>
      <c r="E4" s="9"/>
      <c r="F4" s="10">
        <f>AVERAGE(C5:F5)</f>
        <v>0.0375</v>
      </c>
    </row>
    <row r="5" ht="20.05" customHeight="1">
      <c r="B5" t="s" s="11">
        <v>4</v>
      </c>
      <c r="C5" s="12">
        <v>0.15</v>
      </c>
      <c r="D5" s="13">
        <v>-0.05</v>
      </c>
      <c r="E5" s="13">
        <v>0.02</v>
      </c>
      <c r="F5" s="13">
        <v>0.03</v>
      </c>
    </row>
    <row r="6" ht="20.05" customHeight="1">
      <c r="B6" t="s" s="11">
        <v>5</v>
      </c>
      <c r="C6" s="14">
        <f>'Sales'!C30*(1+C5)</f>
        <v>312.225</v>
      </c>
      <c r="D6" s="15">
        <f>C6*(1+D5)</f>
        <v>296.61375</v>
      </c>
      <c r="E6" s="15">
        <f>D6*(1+E5)</f>
        <v>302.546025</v>
      </c>
      <c r="F6" s="15">
        <f>E6*(1+F5)</f>
        <v>311.62240575</v>
      </c>
    </row>
    <row r="7" ht="20.05" customHeight="1">
      <c r="B7" t="s" s="11">
        <v>6</v>
      </c>
      <c r="C7" s="16">
        <f>AVERAGE('Sales'!I30)</f>
        <v>-0.682937554969217</v>
      </c>
      <c r="D7" s="17">
        <f>C7</f>
        <v>-0.682937554969217</v>
      </c>
      <c r="E7" s="17">
        <f>D7</f>
        <v>-0.682937554969217</v>
      </c>
      <c r="F7" s="17">
        <f>E7</f>
        <v>-0.682937554969217</v>
      </c>
    </row>
    <row r="8" ht="20.05" customHeight="1">
      <c r="B8" t="s" s="11">
        <v>7</v>
      </c>
      <c r="C8" s="18">
        <f>C6*C7</f>
        <v>-213.230178100264</v>
      </c>
      <c r="D8" s="19">
        <f>D6*D7</f>
        <v>-202.568669195251</v>
      </c>
      <c r="E8" s="19">
        <f>E6*E7</f>
        <v>-206.620042579156</v>
      </c>
      <c r="F8" s="19">
        <f>F6*F7</f>
        <v>-212.818643856530</v>
      </c>
    </row>
    <row r="9" ht="20.05" customHeight="1">
      <c r="B9" t="s" s="11">
        <v>8</v>
      </c>
      <c r="C9" s="18">
        <f>C6+C8</f>
        <v>98.994821899736</v>
      </c>
      <c r="D9" s="19">
        <f>D6+D8</f>
        <v>94.04508080474901</v>
      </c>
      <c r="E9" s="19">
        <f>E6+E8</f>
        <v>95.92598242084399</v>
      </c>
      <c r="F9" s="19">
        <f>F6+F8</f>
        <v>98.803761893470</v>
      </c>
    </row>
    <row r="10" ht="20.05" customHeight="1">
      <c r="B10" t="s" s="11">
        <v>9</v>
      </c>
      <c r="C10" s="18">
        <f>AVERAGE('Cashflow '!F30)</f>
        <v>-28.2</v>
      </c>
      <c r="D10" s="19">
        <f>C10</f>
        <v>-28.2</v>
      </c>
      <c r="E10" s="19">
        <f>D10</f>
        <v>-28.2</v>
      </c>
      <c r="F10" s="19">
        <f>E10</f>
        <v>-28.2</v>
      </c>
    </row>
    <row r="11" ht="20.05" customHeight="1">
      <c r="B11" t="s" s="11">
        <v>10</v>
      </c>
      <c r="C11" s="18">
        <f>C12+C13+C15</f>
        <v>-70.79482189973599</v>
      </c>
      <c r="D11" s="19">
        <f>D12+D13+D15</f>
        <v>-65.845080804749</v>
      </c>
      <c r="E11" s="19">
        <f>E12+E13+E15</f>
        <v>-67.72598242084401</v>
      </c>
      <c r="F11" s="19">
        <f>F12+F13+F15</f>
        <v>-70.60376189346999</v>
      </c>
    </row>
    <row r="12" ht="20.05" customHeight="1">
      <c r="B12" t="s" s="11">
        <v>11</v>
      </c>
      <c r="C12" s="18">
        <f>-('Balance sheet'!G30)/20</f>
        <v>-14.61</v>
      </c>
      <c r="D12" s="19">
        <f>-C26/20</f>
        <v>-13.8795</v>
      </c>
      <c r="E12" s="19">
        <f>-D26/20</f>
        <v>-13.185525</v>
      </c>
      <c r="F12" s="19">
        <f>-E26/20</f>
        <v>-12.52624875</v>
      </c>
    </row>
    <row r="13" ht="20.05" customHeight="1">
      <c r="B13" t="s" s="11">
        <v>12</v>
      </c>
      <c r="C13" s="18">
        <f>IF(C9+C10&gt;0,-C21,0)</f>
        <v>-58.594821899736</v>
      </c>
      <c r="D13" s="19">
        <f>IF(D9+D10&gt;0,-D21,0)</f>
        <v>-53.645080804749</v>
      </c>
      <c r="E13" s="19">
        <f>IF(E9+E10&gt;0,-E21,0)</f>
        <v>-55.525982420844</v>
      </c>
      <c r="F13" s="19">
        <f>IF(F9+F10&gt;0,-F21,0)</f>
        <v>-58.403761893470</v>
      </c>
    </row>
    <row r="14" ht="20.05" customHeight="1">
      <c r="B14" t="s" s="11">
        <v>13</v>
      </c>
      <c r="C14" s="18">
        <f>C9+C10+C12+C13</f>
        <v>-2.41</v>
      </c>
      <c r="D14" s="19">
        <f>D9+D10+D12+D13</f>
        <v>-1.6795</v>
      </c>
      <c r="E14" s="19">
        <f>E9+E10+E12+E13</f>
        <v>-0.985525</v>
      </c>
      <c r="F14" s="19">
        <f>F9+F10+F12+F13</f>
        <v>-0.32624875</v>
      </c>
    </row>
    <row r="15" ht="20.05" customHeight="1">
      <c r="B15" t="s" s="11">
        <v>14</v>
      </c>
      <c r="C15" s="18">
        <f>-MIN(0,C14)</f>
        <v>2.41</v>
      </c>
      <c r="D15" s="19">
        <f>-MIN(C27,D14)</f>
        <v>1.6795</v>
      </c>
      <c r="E15" s="19">
        <f>-MIN(D27,E14)</f>
        <v>0.985525</v>
      </c>
      <c r="F15" s="19">
        <f>-MIN(E27,F14)</f>
        <v>0.32624875</v>
      </c>
    </row>
    <row r="16" ht="20.05" customHeight="1">
      <c r="B16" t="s" s="11">
        <v>15</v>
      </c>
      <c r="C16" s="18">
        <f>'Balance sheet'!C30</f>
        <v>469.6</v>
      </c>
      <c r="D16" s="19">
        <f>C18</f>
        <v>469.6</v>
      </c>
      <c r="E16" s="19">
        <f>D18</f>
        <v>469.6</v>
      </c>
      <c r="F16" s="19">
        <f>E18</f>
        <v>469.6</v>
      </c>
    </row>
    <row r="17" ht="20.05" customHeight="1">
      <c r="B17" t="s" s="11">
        <v>16</v>
      </c>
      <c r="C17" s="18">
        <f>C9+C10+C11</f>
        <v>0</v>
      </c>
      <c r="D17" s="19">
        <f>D9+D10+D11</f>
        <v>0</v>
      </c>
      <c r="E17" s="19">
        <f>E9+E10+E11</f>
        <v>0</v>
      </c>
      <c r="F17" s="19">
        <f>F9+F10+F11</f>
        <v>0</v>
      </c>
    </row>
    <row r="18" ht="20.05" customHeight="1">
      <c r="B18" t="s" s="11">
        <v>17</v>
      </c>
      <c r="C18" s="18">
        <f>C16+C17</f>
        <v>469.6</v>
      </c>
      <c r="D18" s="19">
        <f>D16+D17</f>
        <v>469.6</v>
      </c>
      <c r="E18" s="19">
        <f>E16+E17</f>
        <v>469.6</v>
      </c>
      <c r="F18" s="19">
        <f>F16+F17</f>
        <v>469.6</v>
      </c>
    </row>
    <row r="19" ht="20.05" customHeight="1">
      <c r="B19" t="s" s="20">
        <v>18</v>
      </c>
      <c r="C19" s="21"/>
      <c r="D19" s="22"/>
      <c r="E19" s="22"/>
      <c r="F19" s="23"/>
    </row>
    <row r="20" ht="20.05" customHeight="1">
      <c r="B20" t="s" s="11">
        <v>19</v>
      </c>
      <c r="C20" s="18">
        <f>-AVERAGE('Sales'!E30)</f>
        <v>-40.4</v>
      </c>
      <c r="D20" s="19">
        <f>C20</f>
        <v>-40.4</v>
      </c>
      <c r="E20" s="19">
        <f>D20</f>
        <v>-40.4</v>
      </c>
      <c r="F20" s="19">
        <f>E20</f>
        <v>-40.4</v>
      </c>
    </row>
    <row r="21" ht="20.05" customHeight="1">
      <c r="B21" t="s" s="11">
        <v>20</v>
      </c>
      <c r="C21" s="18">
        <f>C6+C8+C20</f>
        <v>58.594821899736</v>
      </c>
      <c r="D21" s="19">
        <f>D6+D8+D20</f>
        <v>53.645080804749</v>
      </c>
      <c r="E21" s="19">
        <f>E6+E8+E20</f>
        <v>55.525982420844</v>
      </c>
      <c r="F21" s="19">
        <f>F6+F8+F20</f>
        <v>58.403761893470</v>
      </c>
    </row>
    <row r="22" ht="20.05" customHeight="1">
      <c r="B22" t="s" s="20">
        <v>21</v>
      </c>
      <c r="C22" s="21"/>
      <c r="D22" s="22"/>
      <c r="E22" s="22"/>
      <c r="F22" s="19"/>
    </row>
    <row r="23" ht="20.05" customHeight="1">
      <c r="B23" t="s" s="11">
        <v>22</v>
      </c>
      <c r="C23" s="18">
        <f>'Balance sheet'!E30+'Balance sheet'!F30-C10</f>
        <v>4448.9</v>
      </c>
      <c r="D23" s="19">
        <f>C23-D10</f>
        <v>4477.1</v>
      </c>
      <c r="E23" s="19">
        <f>D23-E10</f>
        <v>4505.3</v>
      </c>
      <c r="F23" s="19">
        <f>E23-F10</f>
        <v>4533.5</v>
      </c>
    </row>
    <row r="24" ht="20.05" customHeight="1">
      <c r="B24" t="s" s="11">
        <v>23</v>
      </c>
      <c r="C24" s="18">
        <f>'Balance sheet'!F30-C20</f>
        <v>2527.8</v>
      </c>
      <c r="D24" s="19">
        <f>C24-D20</f>
        <v>2568.2</v>
      </c>
      <c r="E24" s="19">
        <f>D24-E20</f>
        <v>2608.6</v>
      </c>
      <c r="F24" s="19">
        <f>E24-F20</f>
        <v>2649</v>
      </c>
    </row>
    <row r="25" ht="20.05" customHeight="1">
      <c r="B25" t="s" s="11">
        <v>24</v>
      </c>
      <c r="C25" s="18">
        <f>C23-C24</f>
        <v>1921.1</v>
      </c>
      <c r="D25" s="19">
        <f>D23-D24</f>
        <v>1908.9</v>
      </c>
      <c r="E25" s="19">
        <f>E23-E24</f>
        <v>1896.7</v>
      </c>
      <c r="F25" s="19">
        <f>F23-F24</f>
        <v>1884.5</v>
      </c>
    </row>
    <row r="26" ht="20.05" customHeight="1">
      <c r="B26" t="s" s="11">
        <v>11</v>
      </c>
      <c r="C26" s="18">
        <f>'Balance sheet'!G30+C12</f>
        <v>277.59</v>
      </c>
      <c r="D26" s="19">
        <f>C26+D12</f>
        <v>263.7105</v>
      </c>
      <c r="E26" s="19">
        <f>D26+E12</f>
        <v>250.524975</v>
      </c>
      <c r="F26" s="19">
        <f>E26+F12</f>
        <v>237.99872625</v>
      </c>
    </row>
    <row r="27" ht="20.05" customHeight="1">
      <c r="B27" t="s" s="11">
        <v>14</v>
      </c>
      <c r="C27" s="18">
        <f>C15</f>
        <v>2.41</v>
      </c>
      <c r="D27" s="19">
        <f>C27+D15</f>
        <v>4.0895</v>
      </c>
      <c r="E27" s="19">
        <f>D27+E15</f>
        <v>5.075025</v>
      </c>
      <c r="F27" s="19">
        <f>E27+F15</f>
        <v>5.40127375</v>
      </c>
    </row>
    <row r="28" ht="20.05" customHeight="1">
      <c r="B28" t="s" s="11">
        <v>12</v>
      </c>
      <c r="C28" s="18">
        <f>'Balance sheet'!H30+C21+C13</f>
        <v>2110.7</v>
      </c>
      <c r="D28" s="19">
        <f>C28+D21+D13</f>
        <v>2110.7</v>
      </c>
      <c r="E28" s="19">
        <f>D28+E21+E13</f>
        <v>2110.7</v>
      </c>
      <c r="F28" s="19">
        <f>E28+F21+F13</f>
        <v>2110.7</v>
      </c>
    </row>
    <row r="29" ht="20.05" customHeight="1">
      <c r="B29" t="s" s="11">
        <v>25</v>
      </c>
      <c r="C29" s="18">
        <f>C26+C27+C28-C18-C25</f>
        <v>0</v>
      </c>
      <c r="D29" s="19">
        <f>D26+D27+D28-D18-D25</f>
        <v>0</v>
      </c>
      <c r="E29" s="19">
        <f>E26+E27+E28-E18-E25</f>
        <v>0</v>
      </c>
      <c r="F29" s="19">
        <f>F26+F27+F28-F18-F25</f>
        <v>0</v>
      </c>
    </row>
    <row r="30" ht="20.05" customHeight="1">
      <c r="B30" t="s" s="11">
        <v>26</v>
      </c>
      <c r="C30" s="18">
        <f>C18-C26-C27</f>
        <v>189.6</v>
      </c>
      <c r="D30" s="19">
        <f>D18-D26-D27</f>
        <v>201.8</v>
      </c>
      <c r="E30" s="19">
        <f>E18-E26-E27</f>
        <v>214</v>
      </c>
      <c r="F30" s="19">
        <f>F18-F26-F27</f>
        <v>226.2</v>
      </c>
    </row>
    <row r="31" ht="20.05" customHeight="1">
      <c r="B31" t="s" s="20">
        <v>27</v>
      </c>
      <c r="C31" s="18"/>
      <c r="D31" s="19"/>
      <c r="E31" s="19"/>
      <c r="F31" s="19"/>
    </row>
    <row r="32" ht="20.05" customHeight="1">
      <c r="B32" t="s" s="11">
        <v>28</v>
      </c>
      <c r="C32" s="18"/>
      <c r="D32" s="19"/>
      <c r="E32" s="19"/>
      <c r="F32" s="19">
        <v>14</v>
      </c>
    </row>
    <row r="33" ht="20.05" customHeight="1">
      <c r="B33" t="s" s="11">
        <v>29</v>
      </c>
      <c r="C33" s="18">
        <f>'Cashflow '!J30-C11</f>
        <v>278.323821899736</v>
      </c>
      <c r="D33" s="19">
        <f>C33-D11</f>
        <v>344.168902704485</v>
      </c>
      <c r="E33" s="19">
        <f>D33-E11</f>
        <v>411.894885125329</v>
      </c>
      <c r="F33" s="19">
        <f>E33-F11</f>
        <v>482.498647018799</v>
      </c>
    </row>
    <row r="34" ht="20.05" customHeight="1">
      <c r="B34" t="s" s="11">
        <v>30</v>
      </c>
      <c r="C34" s="18"/>
      <c r="D34" s="19"/>
      <c r="E34" s="19"/>
      <c r="F34" s="19">
        <f>(F42*F44)/F32</f>
        <v>3400</v>
      </c>
    </row>
    <row r="35" ht="20.05" customHeight="1">
      <c r="B35" t="s" s="11">
        <v>31</v>
      </c>
      <c r="C35" s="18"/>
      <c r="D35" s="19"/>
      <c r="E35" s="19"/>
      <c r="F35" s="24">
        <f>F34/(F18+F25)</f>
        <v>1.44428868782125</v>
      </c>
    </row>
    <row r="36" ht="20.05" customHeight="1">
      <c r="B36" t="s" s="11">
        <v>32</v>
      </c>
      <c r="C36" s="18"/>
      <c r="D36" s="19"/>
      <c r="E36" s="19"/>
      <c r="F36" s="17">
        <f>-(C13+D13+E13+F13)/F34</f>
        <v>0.0665204844172938</v>
      </c>
    </row>
    <row r="37" ht="20.05" customHeight="1">
      <c r="B37" t="s" s="11">
        <v>3</v>
      </c>
      <c r="C37" s="18"/>
      <c r="D37" s="19"/>
      <c r="E37" s="19"/>
      <c r="F37" s="19">
        <f>SUM(C9:F10)</f>
        <v>274.969647018799</v>
      </c>
    </row>
    <row r="38" ht="20.05" customHeight="1">
      <c r="B38" t="s" s="11">
        <v>33</v>
      </c>
      <c r="C38" s="18"/>
      <c r="D38" s="19"/>
      <c r="E38" s="19"/>
      <c r="F38" s="24">
        <f>'Balance sheet'!E30/F37</f>
        <v>7.0309578564787</v>
      </c>
    </row>
    <row r="39" ht="20.05" customHeight="1">
      <c r="B39" t="s" s="11">
        <v>27</v>
      </c>
      <c r="C39" s="18"/>
      <c r="D39" s="19"/>
      <c r="E39" s="19"/>
      <c r="F39" s="19">
        <f>F34/F37</f>
        <v>12.3650011441719</v>
      </c>
    </row>
    <row r="40" ht="20.05" customHeight="1">
      <c r="B40" t="s" s="25">
        <v>34</v>
      </c>
      <c r="C40" s="18"/>
      <c r="D40" s="19"/>
      <c r="E40" s="19"/>
      <c r="F40" s="19">
        <v>19</v>
      </c>
    </row>
    <row r="41" ht="20.05" customHeight="1">
      <c r="B41" t="s" s="11">
        <v>35</v>
      </c>
      <c r="C41" s="18"/>
      <c r="D41" s="19"/>
      <c r="E41" s="19"/>
      <c r="F41" s="19">
        <f>F37*F40</f>
        <v>5224.423293357180</v>
      </c>
    </row>
    <row r="42" ht="20.05" customHeight="1">
      <c r="B42" t="s" s="11">
        <v>36</v>
      </c>
      <c r="C42" s="18"/>
      <c r="D42" s="19"/>
      <c r="E42" s="19"/>
      <c r="F42" s="19">
        <v>9.937369519832989</v>
      </c>
    </row>
    <row r="43" ht="20.05" customHeight="1">
      <c r="B43" t="s" s="11">
        <v>37</v>
      </c>
      <c r="C43" s="18"/>
      <c r="D43" s="19"/>
      <c r="E43" s="19"/>
      <c r="F43" s="19">
        <f>(F41/F42)*F32</f>
        <v>7360.290463288490</v>
      </c>
    </row>
    <row r="44" ht="20.05" customHeight="1">
      <c r="B44" t="s" s="11">
        <v>38</v>
      </c>
      <c r="C44" s="18"/>
      <c r="D44" s="19"/>
      <c r="E44" s="19"/>
      <c r="F44" s="19">
        <f>'INCO'!C97</f>
        <v>4790</v>
      </c>
    </row>
    <row r="45" ht="20.05" customHeight="1">
      <c r="B45" t="s" s="11">
        <v>39</v>
      </c>
      <c r="C45" s="18"/>
      <c r="D45" s="19"/>
      <c r="E45" s="19"/>
      <c r="F45" s="17">
        <f>F43/F44-1</f>
        <v>0.536595086281522</v>
      </c>
    </row>
    <row r="46" ht="20.05" customHeight="1">
      <c r="B46" t="s" s="11">
        <v>40</v>
      </c>
      <c r="C46" s="18"/>
      <c r="D46" s="19"/>
      <c r="E46" s="19"/>
      <c r="F46" s="17">
        <f>'Sales'!C30/'Sales'!C26-1</f>
        <v>0.286729857819905</v>
      </c>
    </row>
    <row r="47" ht="20.05" customHeight="1">
      <c r="B47" t="s" s="11">
        <v>41</v>
      </c>
      <c r="C47" s="18"/>
      <c r="D47" s="19"/>
      <c r="E47" s="19"/>
      <c r="F47" s="17">
        <f>('Sales'!D22+'Sales'!D23+'Sales'!D24+'Sales'!D25+'Sales'!D26+'Sales'!D27+'Sales'!D28+'Sales'!D29+'Sales'!D30)/('Sales'!C22+'Sales'!C23+'Sales'!C24+'Sales'!C25+'Sales'!C26+'Sales'!C27+'Sales'!C28+'Sales'!C29+'Sales'!C30)-1</f>
        <v>-0.0223762602785754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I34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9.75781" style="26" customWidth="1"/>
    <col min="2" max="2" width="8.8125" style="26" customWidth="1"/>
    <col min="3" max="9" width="9.66406" style="26" customWidth="1"/>
    <col min="10" max="16384" width="16.3516" style="26" customWidth="1"/>
  </cols>
  <sheetData>
    <row r="1" ht="45.35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</row>
    <row r="3" ht="32.25" customHeight="1">
      <c r="B3" t="s" s="4">
        <v>1</v>
      </c>
      <c r="C3" t="s" s="4">
        <v>42</v>
      </c>
      <c r="D3" t="s" s="4">
        <v>34</v>
      </c>
      <c r="E3" t="s" s="4">
        <v>23</v>
      </c>
      <c r="F3" t="s" s="4">
        <v>20</v>
      </c>
      <c r="G3" t="s" s="4">
        <v>43</v>
      </c>
      <c r="H3" t="s" s="4">
        <v>44</v>
      </c>
      <c r="I3" t="s" s="4">
        <v>45</v>
      </c>
    </row>
    <row r="4" ht="20.25" customHeight="1">
      <c r="B4" s="27">
        <v>2015</v>
      </c>
      <c r="C4" s="28">
        <v>211.9</v>
      </c>
      <c r="D4" s="29"/>
      <c r="E4" s="29">
        <v>34.6</v>
      </c>
      <c r="F4" s="30">
        <v>25.1</v>
      </c>
      <c r="G4" s="10"/>
      <c r="H4" s="31">
        <f>(E4+F4-C4)/C4</f>
        <v>-0.718263331760264</v>
      </c>
      <c r="I4" s="31">
        <f>('Cashflow '!E4+'Cashflow '!D4-'Cashflow '!C4)/'Cashflow '!C4</f>
        <v>-0.670477412325024</v>
      </c>
    </row>
    <row r="5" ht="20.05" customHeight="1">
      <c r="B5" s="32"/>
      <c r="C5" s="14">
        <v>197.8</v>
      </c>
      <c r="D5" s="15"/>
      <c r="E5" s="15">
        <v>33.3</v>
      </c>
      <c r="F5" s="19">
        <v>16.8</v>
      </c>
      <c r="G5" s="13">
        <f>C5/C4-1</f>
        <v>-0.0665408211420481</v>
      </c>
      <c r="H5" s="17">
        <f>(E5+F5-C5)/C5</f>
        <v>-0.746713852376138</v>
      </c>
      <c r="I5" s="17">
        <f>('Cashflow '!E5+'Cashflow '!D5-'Cashflow '!C5)/'Cashflow '!C5</f>
        <v>-1.09919559419787</v>
      </c>
    </row>
    <row r="6" ht="20.05" customHeight="1">
      <c r="B6" s="32"/>
      <c r="C6" s="14">
        <v>203.5</v>
      </c>
      <c r="D6" s="15"/>
      <c r="E6" s="15">
        <v>39.1</v>
      </c>
      <c r="F6" s="19">
        <v>10</v>
      </c>
      <c r="G6" s="13">
        <f>C6/C5-1</f>
        <v>0.0288169868554095</v>
      </c>
      <c r="H6" s="17">
        <f>(E6+F6-C6)/C6</f>
        <v>-0.758722358722359</v>
      </c>
      <c r="I6" s="17">
        <f>('Cashflow '!E6+'Cashflow '!D6-'Cashflow '!C6)/'Cashflow '!C6</f>
        <v>-0.6170141908268419</v>
      </c>
    </row>
    <row r="7" ht="20.05" customHeight="1">
      <c r="B7" s="32"/>
      <c r="C7" s="14">
        <v>176.6</v>
      </c>
      <c r="D7" s="15"/>
      <c r="E7" s="15">
        <v>28</v>
      </c>
      <c r="F7" s="19">
        <v>-1.4</v>
      </c>
      <c r="G7" s="13">
        <f>C7/C6-1</f>
        <v>-0.132186732186732</v>
      </c>
      <c r="H7" s="17">
        <f>(E7+F7-C7)/C7</f>
        <v>-0.849377123442809</v>
      </c>
      <c r="I7" s="17">
        <f>('Cashflow '!E7+'Cashflow '!D7-'Cashflow '!C7)/'Cashflow '!C7</f>
        <v>-1.06592070194182</v>
      </c>
    </row>
    <row r="8" ht="20.05" customHeight="1">
      <c r="B8" s="33">
        <v>2016</v>
      </c>
      <c r="C8" s="14">
        <v>108.7</v>
      </c>
      <c r="D8" s="15"/>
      <c r="E8" s="15">
        <v>26.6</v>
      </c>
      <c r="F8" s="19">
        <v>-15.4</v>
      </c>
      <c r="G8" s="13">
        <f>C8/C7-1</f>
        <v>-0.384484711211778</v>
      </c>
      <c r="H8" s="17">
        <f>(E8+F8-C8)/C8</f>
        <v>-0.896964121435143</v>
      </c>
      <c r="I8" s="17">
        <f>('Cashflow '!E8+'Cashflow '!D8-'Cashflow '!C8)/'Cashflow '!C8</f>
        <v>-0.736992567181246</v>
      </c>
    </row>
    <row r="9" ht="20.05" customHeight="1">
      <c r="B9" s="32"/>
      <c r="C9" s="14">
        <v>138.1</v>
      </c>
      <c r="D9" s="15"/>
      <c r="E9" s="15">
        <v>29.7</v>
      </c>
      <c r="F9" s="19">
        <v>-4.6</v>
      </c>
      <c r="G9" s="13">
        <f>C9/C8-1</f>
        <v>0.270469181232751</v>
      </c>
      <c r="H9" s="17">
        <f>(E9+F9-C9)/C9</f>
        <v>-0.818247646632875</v>
      </c>
      <c r="I9" s="17">
        <f>('Cashflow '!E9+'Cashflow '!D9-'Cashflow '!C9)/'Cashflow '!C9</f>
        <v>-0.944799741347359</v>
      </c>
    </row>
    <row r="10" ht="20.05" customHeight="1">
      <c r="B10" s="32"/>
      <c r="C10" s="14">
        <v>158.6</v>
      </c>
      <c r="D10" s="15"/>
      <c r="E10" s="15">
        <v>28.7</v>
      </c>
      <c r="F10" s="19">
        <v>13</v>
      </c>
      <c r="G10" s="13">
        <f>C10/C9-1</f>
        <v>0.148443157132513</v>
      </c>
      <c r="H10" s="17">
        <f>(E10+F10-C10)/C10</f>
        <v>-0.737074401008827</v>
      </c>
      <c r="I10" s="17">
        <f>('Cashflow '!E10+'Cashflow '!D10-'Cashflow '!C10)/'Cashflow '!C10</f>
        <v>-1.57034007507423</v>
      </c>
    </row>
    <row r="11" ht="20.05" customHeight="1">
      <c r="B11" s="32"/>
      <c r="C11" s="14">
        <v>178.7</v>
      </c>
      <c r="D11" s="15"/>
      <c r="E11" s="15">
        <v>35.7</v>
      </c>
      <c r="F11" s="19">
        <v>8.9</v>
      </c>
      <c r="G11" s="13">
        <f>C11/C10-1</f>
        <v>0.126733921815889</v>
      </c>
      <c r="H11" s="17">
        <f>(E11+F11-C11)/C11</f>
        <v>-0.750419697817571</v>
      </c>
      <c r="I11" s="17">
        <f>('Cashflow '!E11+'Cashflow '!D11-'Cashflow '!C11)/'Cashflow '!C11</f>
        <v>-0.905477899981847</v>
      </c>
    </row>
    <row r="12" ht="20.05" customHeight="1">
      <c r="B12" s="33">
        <v>2017</v>
      </c>
      <c r="C12" s="14">
        <v>143.9</v>
      </c>
      <c r="D12" s="15"/>
      <c r="E12" s="15">
        <v>30.6</v>
      </c>
      <c r="F12" s="19">
        <v>-6.2</v>
      </c>
      <c r="G12" s="13">
        <f>C12/C11-1</f>
        <v>-0.194739787353106</v>
      </c>
      <c r="H12" s="17">
        <f>(E12+F12-C12)/C12</f>
        <v>-0.830437804030577</v>
      </c>
      <c r="I12" s="17">
        <f>('Cashflow '!E12+'Cashflow '!D12-'Cashflow '!C12)/'Cashflow '!C12</f>
        <v>-0.545217823101239</v>
      </c>
    </row>
    <row r="13" ht="20.05" customHeight="1">
      <c r="B13" s="32"/>
      <c r="C13" s="14">
        <v>147.9</v>
      </c>
      <c r="D13" s="15"/>
      <c r="E13" s="15">
        <v>30.8</v>
      </c>
      <c r="F13" s="19">
        <v>-15.3</v>
      </c>
      <c r="G13" s="13">
        <f>C13/C12-1</f>
        <v>0.0277970813064628</v>
      </c>
      <c r="H13" s="17">
        <f>(E13+F13-C13)/C13</f>
        <v>-0.895199459093982</v>
      </c>
      <c r="I13" s="17">
        <f>('Cashflow '!E13+'Cashflow '!D13-'Cashflow '!C13)/'Cashflow '!C13</f>
        <v>-0.657142857142857</v>
      </c>
    </row>
    <row r="14" ht="20.05" customHeight="1">
      <c r="B14" s="32"/>
      <c r="C14" s="14">
        <v>156.8</v>
      </c>
      <c r="D14" s="15"/>
      <c r="E14" s="15">
        <v>29.7</v>
      </c>
      <c r="F14" s="19">
        <v>1.9</v>
      </c>
      <c r="G14" s="13">
        <f>C14/C13-1</f>
        <v>0.0601757944557133</v>
      </c>
      <c r="H14" s="17">
        <f>(E14+F14-C14)/C14</f>
        <v>-0.798469387755102</v>
      </c>
      <c r="I14" s="17">
        <f>('Cashflow '!E14+'Cashflow '!D14-'Cashflow '!C14)/'Cashflow '!C14</f>
        <v>-1.00340112917489</v>
      </c>
    </row>
    <row r="15" ht="20.05" customHeight="1">
      <c r="B15" s="32"/>
      <c r="C15" s="14">
        <v>180.6</v>
      </c>
      <c r="D15" s="15"/>
      <c r="E15" s="15">
        <v>35.3</v>
      </c>
      <c r="F15" s="19">
        <v>4.4</v>
      </c>
      <c r="G15" s="13">
        <f>C15/C14-1</f>
        <v>0.151785714285714</v>
      </c>
      <c r="H15" s="17">
        <f>(E15+F15-C15)/C15</f>
        <v>-0.780177187153931</v>
      </c>
      <c r="I15" s="17">
        <f>('Cashflow '!E15+'Cashflow '!D15-'Cashflow '!C15)/'Cashflow '!C15</f>
        <v>-0.842951224398788</v>
      </c>
    </row>
    <row r="16" ht="20.05" customHeight="1">
      <c r="B16" s="33">
        <v>2018</v>
      </c>
      <c r="C16" s="14">
        <v>170.5</v>
      </c>
      <c r="D16" s="15"/>
      <c r="E16" s="15">
        <v>32</v>
      </c>
      <c r="F16" s="19">
        <v>6.8</v>
      </c>
      <c r="G16" s="13">
        <f>C16/C15-1</f>
        <v>-0.0559246954595792</v>
      </c>
      <c r="H16" s="17">
        <f>(E16+F16-C16)/C16</f>
        <v>-0.7724340175953081</v>
      </c>
      <c r="I16" s="17">
        <f>('Cashflow '!E16+'Cashflow '!D16-'Cashflow '!C16)/'Cashflow '!C16</f>
        <v>-1.11059476009654</v>
      </c>
    </row>
    <row r="17" ht="20.05" customHeight="1">
      <c r="B17" s="32"/>
      <c r="C17" s="14">
        <v>204.2</v>
      </c>
      <c r="D17" s="15"/>
      <c r="E17" s="15">
        <v>33.3</v>
      </c>
      <c r="F17" s="19">
        <v>22.6</v>
      </c>
      <c r="G17" s="13">
        <f>C17/C16-1</f>
        <v>0.197653958944282</v>
      </c>
      <c r="H17" s="17">
        <f>(E17+F17-C17)/C17</f>
        <v>-0.7262487757100879</v>
      </c>
      <c r="I17" s="17">
        <f>('Cashflow '!E17+'Cashflow '!D17-'Cashflow '!C17)/'Cashflow '!C17</f>
        <v>-0.808546616606002</v>
      </c>
    </row>
    <row r="18" ht="20.05" customHeight="1">
      <c r="B18" s="32"/>
      <c r="C18" s="14">
        <v>205</v>
      </c>
      <c r="D18" s="15"/>
      <c r="E18" s="15">
        <v>33.2</v>
      </c>
      <c r="F18" s="19">
        <v>25.8</v>
      </c>
      <c r="G18" s="13">
        <f>C18/C17-1</f>
        <v>0.0039177277179236</v>
      </c>
      <c r="H18" s="17">
        <f>(E18+F18-C18)/C18</f>
        <v>-0.71219512195122</v>
      </c>
      <c r="I18" s="17">
        <f>('Cashflow '!E18+'Cashflow '!D18-'Cashflow '!C18)/'Cashflow '!C18</f>
        <v>-0.498316835563762</v>
      </c>
    </row>
    <row r="19" ht="20.05" customHeight="1">
      <c r="B19" s="32"/>
      <c r="C19" s="14">
        <v>197.3</v>
      </c>
      <c r="D19" s="15"/>
      <c r="E19" s="15">
        <v>49.4</v>
      </c>
      <c r="F19" s="19">
        <v>5.3</v>
      </c>
      <c r="G19" s="13">
        <f>C19/C18-1</f>
        <v>-0.0375609756097561</v>
      </c>
      <c r="H19" s="17">
        <f>(E19+F19-C19)/C19</f>
        <v>-0.722757222503801</v>
      </c>
      <c r="I19" s="17">
        <f>('Cashflow '!E19+'Cashflow '!D19-'Cashflow '!C19)/'Cashflow '!C19</f>
        <v>-0.683859944317719</v>
      </c>
    </row>
    <row r="20" ht="20.05" customHeight="1">
      <c r="B20" s="33">
        <v>2019</v>
      </c>
      <c r="C20" s="14">
        <v>126.4</v>
      </c>
      <c r="D20" s="15"/>
      <c r="E20" s="15">
        <v>31.3</v>
      </c>
      <c r="F20" s="19">
        <v>-20.2</v>
      </c>
      <c r="G20" s="13">
        <f>C20/C19-1</f>
        <v>-0.359351241763811</v>
      </c>
      <c r="H20" s="17">
        <f>(E20+F20-C20)/C20</f>
        <v>-0.912183544303797</v>
      </c>
      <c r="I20" s="17">
        <f>('Cashflow '!E20+'Cashflow '!D20-'Cashflow '!C20)/'Cashflow '!C20</f>
        <v>-1.16930525440342</v>
      </c>
    </row>
    <row r="21" ht="20.05" customHeight="1">
      <c r="B21" s="32"/>
      <c r="C21" s="14">
        <v>166.3</v>
      </c>
      <c r="D21" s="15"/>
      <c r="E21" s="15">
        <v>25</v>
      </c>
      <c r="F21" s="19">
        <v>-6.2</v>
      </c>
      <c r="G21" s="13">
        <f>C21/C20-1</f>
        <v>0.315664556962025</v>
      </c>
      <c r="H21" s="17">
        <f>(E21+F21-C21)/C21</f>
        <v>-0.886951292844257</v>
      </c>
      <c r="I21" s="17">
        <f>('Cashflow '!E21+'Cashflow '!D21-'Cashflow '!C21)/'Cashflow '!C21</f>
        <v>-1.40692557705881</v>
      </c>
    </row>
    <row r="22" ht="20.05" customHeight="1">
      <c r="B22" s="32"/>
      <c r="C22" s="14">
        <v>214</v>
      </c>
      <c r="D22" s="15">
        <v>215.25</v>
      </c>
      <c r="E22" s="15">
        <f>96-SUM(E20:E21)</f>
        <v>39.7</v>
      </c>
      <c r="F22" s="19">
        <f>0.16-(-26.18)</f>
        <v>26.34</v>
      </c>
      <c r="G22" s="13">
        <f>C22/C21-1</f>
        <v>0.286831028262177</v>
      </c>
      <c r="H22" s="17">
        <f>(E22+F22-C22)/C22</f>
        <v>-0.691401869158879</v>
      </c>
      <c r="I22" s="17">
        <f>('Cashflow '!E22+'Cashflow '!D22-'Cashflow '!C22)/'Cashflow '!C22</f>
        <v>-0.5914502371115909</v>
      </c>
    </row>
    <row r="23" ht="20.05" customHeight="1">
      <c r="B23" s="32"/>
      <c r="C23" s="14">
        <f>782-SUM(C20:C22)</f>
        <v>275.3</v>
      </c>
      <c r="D23" s="15">
        <v>226.895</v>
      </c>
      <c r="E23" s="15">
        <f>133-SUM(E20:E22)</f>
        <v>37</v>
      </c>
      <c r="F23" s="19">
        <f>57-SUM(F20:F22)</f>
        <v>57.06</v>
      </c>
      <c r="G23" s="13">
        <f>C23/C22-1</f>
        <v>0.286448598130841</v>
      </c>
      <c r="H23" s="17">
        <f>(E23+F23-C23)/C23</f>
        <v>-0.658336360334181</v>
      </c>
      <c r="I23" s="17">
        <f>('Cashflow '!E23+'Cashflow '!D23-'Cashflow '!C23)/'Cashflow '!C23</f>
        <v>-0.586950957809147</v>
      </c>
    </row>
    <row r="24" ht="20.05" customHeight="1">
      <c r="B24" s="33">
        <v>2020</v>
      </c>
      <c r="C24" s="14">
        <v>174.7</v>
      </c>
      <c r="D24" s="15">
        <v>189.6</v>
      </c>
      <c r="E24" s="15">
        <f>'Balance sheet'!F24-'Balance sheet'!F23</f>
        <v>27</v>
      </c>
      <c r="F24" s="19">
        <v>29</v>
      </c>
      <c r="G24" s="13">
        <f>C24/C23-1</f>
        <v>-0.365419542317472</v>
      </c>
      <c r="H24" s="17">
        <f>(E24+F24-C24)/C24</f>
        <v>-0.679450486548369</v>
      </c>
      <c r="I24" s="17">
        <f>('Cashflow '!E24+'Cashflow '!D24-'Cashflow '!C24)/'Cashflow '!C24</f>
        <v>-0.6510652277176741</v>
      </c>
    </row>
    <row r="25" ht="20.05" customHeight="1">
      <c r="B25" s="32"/>
      <c r="C25" s="14">
        <f>360-C24</f>
        <v>185.3</v>
      </c>
      <c r="D25" s="15">
        <v>166.3</v>
      </c>
      <c r="E25" s="15">
        <f>71-E24</f>
        <v>44</v>
      </c>
      <c r="F25" s="19">
        <f>53-F24</f>
        <v>24</v>
      </c>
      <c r="G25" s="13">
        <f>C25/C24-1</f>
        <v>0.0606754436176302</v>
      </c>
      <c r="H25" s="17">
        <f>(E25+F25-C25)/C25</f>
        <v>-0.63302752293578</v>
      </c>
      <c r="I25" s="17">
        <f>('Cashflow '!E25+'Cashflow '!D25-'Cashflow '!C25)/'Cashflow '!C25</f>
        <v>-0.749669614719935</v>
      </c>
    </row>
    <row r="26" ht="20.05" customHeight="1">
      <c r="B26" s="32"/>
      <c r="C26" s="14">
        <v>211</v>
      </c>
      <c r="D26" s="15">
        <v>220.42</v>
      </c>
      <c r="E26" s="15">
        <v>39</v>
      </c>
      <c r="F26" s="19">
        <v>24</v>
      </c>
      <c r="G26" s="13">
        <f>C26/C25-1</f>
        <v>0.138694009713977</v>
      </c>
      <c r="H26" s="17">
        <f>(E26+F26-C26)/C26</f>
        <v>-0.701421800947867</v>
      </c>
      <c r="I26" s="17">
        <f>('Cashflow '!E26+'Cashflow '!D26-'Cashflow '!C26)/'Cashflow '!C26</f>
        <v>-0.544928976415248</v>
      </c>
    </row>
    <row r="27" ht="20.05" customHeight="1">
      <c r="B27" s="32"/>
      <c r="C27" s="14">
        <f>764.744-SUM(C24:C26)</f>
        <v>193.744</v>
      </c>
      <c r="D27" s="15">
        <v>242.65</v>
      </c>
      <c r="E27" s="15">
        <f>149.05-SUM(E24:E26)</f>
        <v>39.05</v>
      </c>
      <c r="F27" s="19">
        <f>82.819-SUM(F24:F26)</f>
        <v>5.819</v>
      </c>
      <c r="G27" s="13">
        <f>C27/C26-1</f>
        <v>-0.08178199052132699</v>
      </c>
      <c r="H27" s="17">
        <f>(E27+F27-C27)/C27</f>
        <v>-0.76841089272442</v>
      </c>
      <c r="I27" s="17">
        <f>('Cashflow '!E27+'Cashflow '!D27-'Cashflow '!C27)/'Cashflow '!C27</f>
        <v>-0.64390955097921</v>
      </c>
    </row>
    <row r="28" ht="20.05" customHeight="1">
      <c r="B28" s="33">
        <v>2021</v>
      </c>
      <c r="C28" s="18">
        <v>207</v>
      </c>
      <c r="D28" s="15">
        <v>189.86912</v>
      </c>
      <c r="E28" s="19">
        <v>39</v>
      </c>
      <c r="F28" s="19">
        <v>33.7</v>
      </c>
      <c r="G28" s="13">
        <f>C28/C27-1</f>
        <v>0.0684201833347097</v>
      </c>
      <c r="H28" s="17">
        <f>(E28+F28-C28)/C28</f>
        <v>-0.648792270531401</v>
      </c>
      <c r="I28" s="17">
        <f>('Cashflow '!E28+'Cashflow '!D28-'Cashflow '!C28)/'Cashflow '!C28</f>
        <v>-0.804301075268817</v>
      </c>
    </row>
    <row r="29" ht="20.05" customHeight="1">
      <c r="B29" s="32"/>
      <c r="C29" s="14">
        <f>414.9-C28</f>
        <v>207.9</v>
      </c>
      <c r="D29" s="15">
        <v>217.35</v>
      </c>
      <c r="E29" s="19">
        <f>77.6-E28</f>
        <v>38.6</v>
      </c>
      <c r="F29" s="19">
        <f>58.8-F28</f>
        <v>25.1</v>
      </c>
      <c r="G29" s="13">
        <f>C29/C28-1</f>
        <v>0.00434782608695652</v>
      </c>
      <c r="H29" s="17">
        <f>(E29+F29-C29)/C29</f>
        <v>-0.693602693602694</v>
      </c>
      <c r="I29" s="17">
        <f>('Cashflow '!E29+'Cashflow '!D29-'Cashflow '!C29)/'Cashflow '!C29</f>
        <v>-0.522381378692927</v>
      </c>
    </row>
    <row r="30" ht="20.05" customHeight="1">
      <c r="B30" s="32"/>
      <c r="C30" s="14">
        <f>686.4-C29-C28</f>
        <v>271.5</v>
      </c>
      <c r="D30" s="15">
        <v>228.69</v>
      </c>
      <c r="E30" s="19">
        <f>118-E29-E28</f>
        <v>40.4</v>
      </c>
      <c r="F30" s="19">
        <v>122.9</v>
      </c>
      <c r="G30" s="13">
        <f>C30/C29-1</f>
        <v>0.305916305916306</v>
      </c>
      <c r="H30" s="17">
        <f>(E30+F30-C30)/C30</f>
        <v>-0.398526703499079</v>
      </c>
      <c r="I30" s="17">
        <f>('Cashflow '!E30+'Cashflow '!D30-'Cashflow '!C30)/'Cashflow '!C30</f>
        <v>-0.682937554969217</v>
      </c>
    </row>
    <row r="31" ht="20.05" customHeight="1">
      <c r="B31" s="32"/>
      <c r="C31" s="14"/>
      <c r="D31" s="15">
        <f>'Model'!C6</f>
        <v>312.225</v>
      </c>
      <c r="E31" s="19"/>
      <c r="F31" s="19"/>
      <c r="G31" s="13"/>
      <c r="H31" s="13">
        <f>'Model'!C7</f>
        <v>-0.682937554969217</v>
      </c>
      <c r="I31" s="17"/>
    </row>
    <row r="32" ht="20.05" customHeight="1">
      <c r="B32" s="33">
        <v>2022</v>
      </c>
      <c r="C32" s="14"/>
      <c r="D32" s="15">
        <f>'Model'!D6</f>
        <v>296.61375</v>
      </c>
      <c r="E32" s="19"/>
      <c r="F32" s="19"/>
      <c r="G32" s="13"/>
      <c r="H32" s="23"/>
      <c r="I32" s="34"/>
    </row>
    <row r="33" ht="20.05" customHeight="1">
      <c r="B33" s="32"/>
      <c r="C33" s="14"/>
      <c r="D33" s="15">
        <f>'Model'!E6</f>
        <v>302.546025</v>
      </c>
      <c r="E33" s="19"/>
      <c r="F33" s="19"/>
      <c r="G33" s="13"/>
      <c r="H33" s="23"/>
      <c r="I33" s="34"/>
    </row>
    <row r="34" ht="20.05" customHeight="1">
      <c r="B34" s="32"/>
      <c r="C34" s="14"/>
      <c r="D34" s="15">
        <f>'Model'!F6</f>
        <v>311.62240575</v>
      </c>
      <c r="E34" s="19"/>
      <c r="F34" s="19"/>
      <c r="G34" s="13"/>
      <c r="H34" s="23"/>
      <c r="I34" s="34"/>
    </row>
  </sheetData>
  <mergeCells count="1">
    <mergeCell ref="B2:I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J3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0625" style="35" customWidth="1"/>
    <col min="2" max="2" width="8.1875" style="35" customWidth="1"/>
    <col min="3" max="6" width="10.3125" style="35" customWidth="1"/>
    <col min="7" max="10" width="11.1797" style="35" customWidth="1"/>
    <col min="11" max="16384" width="16.3516" style="35" customWidth="1"/>
  </cols>
  <sheetData>
    <row r="1" ht="16.35" customHeight="1"/>
    <row r="2" ht="27.65" customHeight="1">
      <c r="B2" t="s" s="2">
        <v>46</v>
      </c>
      <c r="C2" s="2"/>
      <c r="D2" s="2"/>
      <c r="E2" s="2"/>
      <c r="F2" s="2"/>
      <c r="G2" s="2"/>
      <c r="H2" s="2"/>
      <c r="I2" s="2"/>
      <c r="J2" s="2"/>
    </row>
    <row r="3" ht="32.25" customHeight="1">
      <c r="B3" t="s" s="4">
        <v>1</v>
      </c>
      <c r="C3" t="s" s="4">
        <v>47</v>
      </c>
      <c r="D3" t="s" s="4">
        <v>48</v>
      </c>
      <c r="E3" t="s" s="4">
        <v>49</v>
      </c>
      <c r="F3" t="s" s="4">
        <v>50</v>
      </c>
      <c r="G3" t="s" s="4">
        <v>10</v>
      </c>
      <c r="H3" t="s" s="4">
        <v>51</v>
      </c>
      <c r="I3" t="s" s="4">
        <v>3</v>
      </c>
      <c r="J3" t="s" s="4">
        <v>52</v>
      </c>
    </row>
    <row r="4" ht="20.25" customHeight="1">
      <c r="B4" s="27">
        <v>2015</v>
      </c>
      <c r="C4" s="36">
        <v>227.602</v>
      </c>
      <c r="D4" s="30">
        <v>-3.2</v>
      </c>
      <c r="E4" s="30">
        <v>78.2</v>
      </c>
      <c r="F4" s="30">
        <v>-30.2</v>
      </c>
      <c r="G4" s="30">
        <v>-21.2</v>
      </c>
      <c r="H4" s="30">
        <f>D4+E4+F4</f>
        <v>44.8</v>
      </c>
      <c r="I4" s="30"/>
      <c r="J4" s="30">
        <f>-(G4-D4)</f>
        <v>18</v>
      </c>
    </row>
    <row r="5" ht="20.05" customHeight="1">
      <c r="B5" s="32"/>
      <c r="C5" s="18">
        <v>184.484</v>
      </c>
      <c r="D5" s="19">
        <v>0</v>
      </c>
      <c r="E5" s="19">
        <v>-18.3</v>
      </c>
      <c r="F5" s="19">
        <v>-26.8</v>
      </c>
      <c r="G5" s="19">
        <v>-12.2</v>
      </c>
      <c r="H5" s="19">
        <f>D5+E5+F5</f>
        <v>-45.1</v>
      </c>
      <c r="I5" s="19"/>
      <c r="J5" s="19">
        <f>-(G5-D5)+J4</f>
        <v>30.2</v>
      </c>
    </row>
    <row r="6" ht="20.05" customHeight="1">
      <c r="B6" s="32"/>
      <c r="C6" s="18">
        <v>216.196</v>
      </c>
      <c r="D6" s="19">
        <v>-2.8</v>
      </c>
      <c r="E6" s="19">
        <v>85.59999999999999</v>
      </c>
      <c r="F6" s="19">
        <v>-27.9</v>
      </c>
      <c r="G6" s="19">
        <v>-9.4</v>
      </c>
      <c r="H6" s="19">
        <f>D6+E6+F6</f>
        <v>54.9</v>
      </c>
      <c r="I6" s="19"/>
      <c r="J6" s="19">
        <f>-(G6-D6)+J5</f>
        <v>36.8</v>
      </c>
    </row>
    <row r="7" ht="20.05" customHeight="1">
      <c r="B7" s="32"/>
      <c r="C7" s="18">
        <v>175.969</v>
      </c>
      <c r="D7" s="19">
        <v>0</v>
      </c>
      <c r="E7" s="19">
        <v>-11.6</v>
      </c>
      <c r="F7" s="19">
        <v>-111.6</v>
      </c>
      <c r="G7" s="19">
        <v>-0.6</v>
      </c>
      <c r="H7" s="19">
        <f>D7+E7+F7</f>
        <v>-123.2</v>
      </c>
      <c r="I7" s="19"/>
      <c r="J7" s="19">
        <f>-(G7-D7)+J6</f>
        <v>37.4</v>
      </c>
    </row>
    <row r="8" ht="20.05" customHeight="1">
      <c r="B8" s="33">
        <v>2016</v>
      </c>
      <c r="C8" s="18">
        <v>139.92</v>
      </c>
      <c r="D8" s="19">
        <v>-2.7</v>
      </c>
      <c r="E8" s="19">
        <v>39.5</v>
      </c>
      <c r="F8" s="19">
        <v>9.1</v>
      </c>
      <c r="G8" s="19">
        <v>-9.300000000000001</v>
      </c>
      <c r="H8" s="19">
        <f>D8+E8+F8</f>
        <v>45.9</v>
      </c>
      <c r="I8" s="19">
        <f>AVERAGE(H5:H8)</f>
        <v>-16.875</v>
      </c>
      <c r="J8" s="19">
        <f>-(G8-D8)+J7</f>
        <v>44</v>
      </c>
    </row>
    <row r="9" ht="20.05" customHeight="1">
      <c r="B9" s="32"/>
      <c r="C9" s="18">
        <v>126.811</v>
      </c>
      <c r="D9" s="19">
        <v>0</v>
      </c>
      <c r="E9" s="19">
        <v>7</v>
      </c>
      <c r="F9" s="19">
        <v>28.3</v>
      </c>
      <c r="G9" s="19">
        <v>-12.2</v>
      </c>
      <c r="H9" s="19">
        <f>D9+E9+F9</f>
        <v>35.3</v>
      </c>
      <c r="I9" s="19">
        <f>AVERAGE(H6:H9)</f>
        <v>3.225</v>
      </c>
      <c r="J9" s="19">
        <f>-(G9-D9)+J8</f>
        <v>56.2</v>
      </c>
    </row>
    <row r="10" ht="20.05" customHeight="1">
      <c r="B10" s="32"/>
      <c r="C10" s="18">
        <v>89.245</v>
      </c>
      <c r="D10" s="19">
        <v>-2.6</v>
      </c>
      <c r="E10" s="19">
        <v>-48.3</v>
      </c>
      <c r="F10" s="19">
        <v>0</v>
      </c>
      <c r="G10" s="19">
        <v>-9.1</v>
      </c>
      <c r="H10" s="19">
        <f>D10+E10+F10</f>
        <v>-50.9</v>
      </c>
      <c r="I10" s="19">
        <f>AVERAGE(H7:H10)</f>
        <v>-23.225</v>
      </c>
      <c r="J10" s="19">
        <f>-(G10-D10)+J9</f>
        <v>62.7</v>
      </c>
    </row>
    <row r="11" ht="20.05" customHeight="1">
      <c r="B11" s="32"/>
      <c r="C11" s="18">
        <v>159.751</v>
      </c>
      <c r="D11" s="19">
        <v>-0.1</v>
      </c>
      <c r="E11" s="19">
        <v>15.2</v>
      </c>
      <c r="F11" s="19">
        <v>-17.5</v>
      </c>
      <c r="G11" s="19">
        <v>-12.2</v>
      </c>
      <c r="H11" s="19">
        <f>D11+E11+F11</f>
        <v>-2.4</v>
      </c>
      <c r="I11" s="19">
        <f>AVERAGE(H8:H11)</f>
        <v>6.975</v>
      </c>
      <c r="J11" s="19">
        <f>-(G11-D11)+J10</f>
        <v>74.8</v>
      </c>
    </row>
    <row r="12" ht="20.05" customHeight="1">
      <c r="B12" s="33">
        <v>2017</v>
      </c>
      <c r="C12" s="18">
        <v>165.134</v>
      </c>
      <c r="D12" s="19">
        <v>-2.4</v>
      </c>
      <c r="E12" s="19">
        <v>77.5</v>
      </c>
      <c r="F12" s="19">
        <v>-18.8</v>
      </c>
      <c r="G12" s="19">
        <v>-8.9</v>
      </c>
      <c r="H12" s="19">
        <f>D12+E12+F12</f>
        <v>56.3</v>
      </c>
      <c r="I12" s="19">
        <f>AVERAGE(H9:H12)</f>
        <v>9.574999999999999</v>
      </c>
      <c r="J12" s="19">
        <f>-(G12-D12)+J11</f>
        <v>81.3</v>
      </c>
    </row>
    <row r="13" ht="20.05" customHeight="1">
      <c r="B13" s="32"/>
      <c r="C13" s="18">
        <v>143.5</v>
      </c>
      <c r="D13" s="19">
        <v>0</v>
      </c>
      <c r="E13" s="19">
        <v>49.2</v>
      </c>
      <c r="F13" s="19">
        <v>-11.8</v>
      </c>
      <c r="G13" s="19">
        <v>-12.1</v>
      </c>
      <c r="H13" s="19">
        <f>D13+E13+F13</f>
        <v>37.4</v>
      </c>
      <c r="I13" s="19">
        <f>AVERAGE(H10:H13)</f>
        <v>10.1</v>
      </c>
      <c r="J13" s="19">
        <f>-(G13-D13)+J12</f>
        <v>93.40000000000001</v>
      </c>
    </row>
    <row r="14" ht="20.05" customHeight="1">
      <c r="B14" s="32"/>
      <c r="C14" s="18">
        <v>147.01</v>
      </c>
      <c r="D14" s="19">
        <v>-2.1</v>
      </c>
      <c r="E14" s="19">
        <v>1.6</v>
      </c>
      <c r="F14" s="19">
        <v>-16.9</v>
      </c>
      <c r="G14" s="19">
        <v>-8.800000000000001</v>
      </c>
      <c r="H14" s="19">
        <f>D14+E14+F14</f>
        <v>-17.4</v>
      </c>
      <c r="I14" s="19">
        <f>AVERAGE(H11:H14)</f>
        <v>18.475</v>
      </c>
      <c r="J14" s="19">
        <f>-(G14-D14)+J13</f>
        <v>100.1</v>
      </c>
    </row>
    <row r="15" ht="20.05" customHeight="1">
      <c r="B15" s="32"/>
      <c r="C15" s="18">
        <v>154.729</v>
      </c>
      <c r="D15" s="19">
        <v>0</v>
      </c>
      <c r="E15" s="19">
        <v>24.3</v>
      </c>
      <c r="F15" s="19">
        <v>-27.1</v>
      </c>
      <c r="G15" s="19">
        <v>-11.9</v>
      </c>
      <c r="H15" s="19">
        <f>D15+E15+F15</f>
        <v>-2.8</v>
      </c>
      <c r="I15" s="19">
        <f>AVERAGE(H12:H15)</f>
        <v>18.375</v>
      </c>
      <c r="J15" s="19">
        <f>-(G15-D15)+J14</f>
        <v>112</v>
      </c>
    </row>
    <row r="16" ht="20.05" customHeight="1">
      <c r="B16" s="33">
        <v>2018</v>
      </c>
      <c r="C16" s="18">
        <v>183.553</v>
      </c>
      <c r="D16" s="19">
        <v>-1.7</v>
      </c>
      <c r="E16" s="19">
        <v>-18.6</v>
      </c>
      <c r="F16" s="19">
        <v>-16.5</v>
      </c>
      <c r="G16" s="19">
        <v>-8.5</v>
      </c>
      <c r="H16" s="19">
        <f>D16+E16+F16</f>
        <v>-36.8</v>
      </c>
      <c r="I16" s="19">
        <f>AVERAGE(H13:H16)</f>
        <v>-4.9</v>
      </c>
      <c r="J16" s="19">
        <f>-(G16-D16)+J15</f>
        <v>118.8</v>
      </c>
    </row>
    <row r="17" ht="20.05" customHeight="1">
      <c r="B17" s="32"/>
      <c r="C17" s="18">
        <v>174.455</v>
      </c>
      <c r="D17" s="19">
        <v>0</v>
      </c>
      <c r="E17" s="19">
        <v>33.4</v>
      </c>
      <c r="F17" s="19">
        <v>-13.2</v>
      </c>
      <c r="G17" s="19">
        <v>-11.9</v>
      </c>
      <c r="H17" s="19">
        <f>D17+E17+F17</f>
        <v>20.2</v>
      </c>
      <c r="I17" s="19">
        <f>AVERAGE(H14:H17)</f>
        <v>-9.199999999999999</v>
      </c>
      <c r="J17" s="19">
        <f>-(G17-D17)+J16</f>
        <v>130.7</v>
      </c>
    </row>
    <row r="18" ht="20.05" customHeight="1">
      <c r="B18" s="32"/>
      <c r="C18" s="18">
        <v>229.627</v>
      </c>
      <c r="D18" s="19">
        <v>-1.5</v>
      </c>
      <c r="E18" s="19">
        <v>116.7</v>
      </c>
      <c r="F18" s="19">
        <v>-27.8</v>
      </c>
      <c r="G18" s="19">
        <v>-8.300000000000001</v>
      </c>
      <c r="H18" s="19">
        <f>D18+E18+F18</f>
        <v>87.40000000000001</v>
      </c>
      <c r="I18" s="19">
        <f>AVERAGE(H15:H18)</f>
        <v>17</v>
      </c>
      <c r="J18" s="19">
        <f>-(G18-D18)+J17</f>
        <v>137.5</v>
      </c>
    </row>
    <row r="19" ht="20.05" customHeight="1">
      <c r="B19" s="32"/>
      <c r="C19" s="18">
        <v>230.594</v>
      </c>
      <c r="D19" s="19">
        <v>0</v>
      </c>
      <c r="E19" s="19">
        <v>72.90000000000001</v>
      </c>
      <c r="F19" s="19">
        <v>-26.3</v>
      </c>
      <c r="G19" s="19">
        <v>-11.7</v>
      </c>
      <c r="H19" s="19">
        <f>D19+E19+F19</f>
        <v>46.6</v>
      </c>
      <c r="I19" s="19">
        <f>AVERAGE(H16:H19)</f>
        <v>29.35</v>
      </c>
      <c r="J19" s="19">
        <f>-(G19-D19)+J18</f>
        <v>149.2</v>
      </c>
    </row>
    <row r="20" ht="20.05" customHeight="1">
      <c r="B20" s="33">
        <v>2019</v>
      </c>
      <c r="C20" s="18">
        <v>168.335</v>
      </c>
      <c r="D20" s="19">
        <v>-1</v>
      </c>
      <c r="E20" s="19">
        <v>-27.5</v>
      </c>
      <c r="F20" s="19">
        <v>-50.2</v>
      </c>
      <c r="G20" s="19">
        <v>-4.2</v>
      </c>
      <c r="H20" s="19">
        <f>D20+E20+F20</f>
        <v>-78.7</v>
      </c>
      <c r="I20" s="19">
        <f>AVERAGE(H17:H20)</f>
        <v>18.875</v>
      </c>
      <c r="J20" s="19">
        <f>-(G20-D20)+J19</f>
        <v>152.4</v>
      </c>
    </row>
    <row r="21" ht="20.05" customHeight="1">
      <c r="B21" s="32"/>
      <c r="C21" s="18">
        <v>114.763</v>
      </c>
      <c r="D21" s="19">
        <v>-0.2</v>
      </c>
      <c r="E21" s="19">
        <v>-46.5</v>
      </c>
      <c r="F21" s="19">
        <v>-42.2</v>
      </c>
      <c r="G21" s="19">
        <v>-19.1</v>
      </c>
      <c r="H21" s="19">
        <f>D21+E21+F21</f>
        <v>-88.90000000000001</v>
      </c>
      <c r="I21" s="19">
        <f>AVERAGE(H18:H21)</f>
        <v>-8.4</v>
      </c>
      <c r="J21" s="19">
        <f>-(G21-D21)+J20</f>
        <v>171.3</v>
      </c>
    </row>
    <row r="22" ht="20.05" customHeight="1">
      <c r="B22" s="32"/>
      <c r="C22" s="18">
        <v>261.902</v>
      </c>
      <c r="D22" s="19">
        <v>0</v>
      </c>
      <c r="E22" s="19">
        <v>107</v>
      </c>
      <c r="F22" s="19">
        <v>-16.6</v>
      </c>
      <c r="G22" s="19">
        <v>-0.627</v>
      </c>
      <c r="H22" s="19">
        <f>D22+E22+F22</f>
        <v>90.40000000000001</v>
      </c>
      <c r="I22" s="19">
        <f>AVERAGE(H19:H22)</f>
        <v>-7.65</v>
      </c>
      <c r="J22" s="19">
        <f>-(G22-D22)+J21</f>
        <v>171.927</v>
      </c>
    </row>
    <row r="23" ht="20.05" customHeight="1">
      <c r="B23" s="32"/>
      <c r="C23" s="18">
        <v>253.965</v>
      </c>
      <c r="D23" s="19">
        <v>-0.1</v>
      </c>
      <c r="E23" s="19">
        <v>105</v>
      </c>
      <c r="F23" s="19">
        <v>-57</v>
      </c>
      <c r="G23" s="19">
        <v>0</v>
      </c>
      <c r="H23" s="19">
        <f>D23+E23+F23</f>
        <v>47.9</v>
      </c>
      <c r="I23" s="19">
        <f>AVERAGE(H20:H23)</f>
        <v>-7.325</v>
      </c>
      <c r="J23" s="19">
        <f>-(G23-D23)+J22</f>
        <v>171.827</v>
      </c>
    </row>
    <row r="24" ht="20.05" customHeight="1">
      <c r="B24" s="33">
        <v>2020</v>
      </c>
      <c r="C24" s="18">
        <v>225.257</v>
      </c>
      <c r="D24" s="19">
        <v>0</v>
      </c>
      <c r="E24" s="19">
        <v>78.59999999999999</v>
      </c>
      <c r="F24" s="19">
        <v>-33</v>
      </c>
      <c r="G24" s="19">
        <v>-0.3</v>
      </c>
      <c r="H24" s="19">
        <f>D24+E24+F24</f>
        <v>45.6</v>
      </c>
      <c r="I24" s="19">
        <f>AVERAGE(H21:H24)</f>
        <v>23.75</v>
      </c>
      <c r="J24" s="19">
        <f>-(G24-D24)+J23</f>
        <v>172.127</v>
      </c>
    </row>
    <row r="25" ht="20.05" customHeight="1">
      <c r="B25" s="32"/>
      <c r="C25" s="18">
        <v>157.392</v>
      </c>
      <c r="D25" s="19">
        <v>0</v>
      </c>
      <c r="E25" s="19">
        <v>39.4</v>
      </c>
      <c r="F25" s="19">
        <v>-44</v>
      </c>
      <c r="G25" s="19">
        <v>-0.522</v>
      </c>
      <c r="H25" s="19">
        <f>D25+E25+F25</f>
        <v>-4.6</v>
      </c>
      <c r="I25" s="19">
        <f>AVERAGE(H22:H25)</f>
        <v>44.825</v>
      </c>
      <c r="J25" s="19">
        <f>-(G25-D25)+J24</f>
        <v>172.649</v>
      </c>
    </row>
    <row r="26" ht="20.05" customHeight="1">
      <c r="B26" s="32"/>
      <c r="C26" s="18">
        <v>215.351</v>
      </c>
      <c r="D26" s="19">
        <v>0</v>
      </c>
      <c r="E26" s="19">
        <v>98</v>
      </c>
      <c r="F26" s="19">
        <v>-27</v>
      </c>
      <c r="G26" s="19">
        <v>0.822</v>
      </c>
      <c r="H26" s="19">
        <f>D26+E26+F26</f>
        <v>71</v>
      </c>
      <c r="I26" s="19">
        <f>AVERAGE(H23:H26)</f>
        <v>39.975</v>
      </c>
      <c r="J26" s="19">
        <f>-(G26-D26)+J25</f>
        <v>171.827</v>
      </c>
    </row>
    <row r="27" ht="20.05" customHeight="1">
      <c r="B27" s="32"/>
      <c r="C27" s="18">
        <v>213.999</v>
      </c>
      <c r="D27" s="19">
        <f>-0.174-SUM(D24:D26)</f>
        <v>-0.174</v>
      </c>
      <c r="E27" s="19">
        <f>292.377-SUM(E24:E26)</f>
        <v>76.377</v>
      </c>
      <c r="F27" s="19">
        <f>-150.837-SUM(F24:F26)</f>
        <v>-46.837</v>
      </c>
      <c r="G27" s="19">
        <f>-1.676-SUM(G24:G26)</f>
        <v>-1.676</v>
      </c>
      <c r="H27" s="19">
        <f>D27+E27+F27</f>
        <v>29.366</v>
      </c>
      <c r="I27" s="19">
        <f>AVERAGE(H24:H27)</f>
        <v>35.3415</v>
      </c>
      <c r="J27" s="19">
        <f>-(G27-D27)+J26</f>
        <v>173.329</v>
      </c>
    </row>
    <row r="28" ht="20.05" customHeight="1">
      <c r="B28" s="33">
        <v>2021</v>
      </c>
      <c r="C28" s="18">
        <v>186</v>
      </c>
      <c r="D28" s="19">
        <v>-2.7</v>
      </c>
      <c r="E28" s="19">
        <v>39.1</v>
      </c>
      <c r="F28" s="19">
        <v>-38.5</v>
      </c>
      <c r="G28" s="19">
        <v>-2.7</v>
      </c>
      <c r="H28" s="19">
        <f>D28+E28+F28</f>
        <v>-2.1</v>
      </c>
      <c r="I28" s="19">
        <f>AVERAGE(H25:H28)</f>
        <v>23.4165</v>
      </c>
      <c r="J28" s="19">
        <f>-(G28-D28)+J27</f>
        <v>173.329</v>
      </c>
    </row>
    <row r="29" ht="20.05" customHeight="1">
      <c r="B29" s="32"/>
      <c r="C29" s="18">
        <f>409.4-C28</f>
        <v>223.4</v>
      </c>
      <c r="D29" s="19">
        <f>-0.7-D28</f>
        <v>2</v>
      </c>
      <c r="E29" s="19">
        <f>143.8-E28</f>
        <v>104.7</v>
      </c>
      <c r="F29" s="19">
        <f>-71.7-F28</f>
        <v>-33.2</v>
      </c>
      <c r="G29" s="19">
        <f>-33.8-G28</f>
        <v>-31.1</v>
      </c>
      <c r="H29" s="19">
        <f>D29+E29+F29</f>
        <v>73.5</v>
      </c>
      <c r="I29" s="19">
        <f>AVERAGE(H26:H29)</f>
        <v>42.9415</v>
      </c>
      <c r="J29" s="19">
        <f>-(G29-D29)+J28</f>
        <v>206.429</v>
      </c>
    </row>
    <row r="30" ht="20.05" customHeight="1">
      <c r="B30" s="32"/>
      <c r="C30" s="18">
        <f>636.8-C29-C28</f>
        <v>227.4</v>
      </c>
      <c r="D30" s="19">
        <f>0-D29-D28</f>
        <v>0.7</v>
      </c>
      <c r="E30" s="19">
        <f>215.2-E29-E28</f>
        <v>71.40000000000001</v>
      </c>
      <c r="F30" s="19">
        <f>-99.9-F29-F28</f>
        <v>-28.2</v>
      </c>
      <c r="G30" s="19">
        <f>-34.2-G29-G28</f>
        <v>-0.4</v>
      </c>
      <c r="H30" s="19">
        <f>D30+E30+F30</f>
        <v>43.9</v>
      </c>
      <c r="I30" s="19">
        <f>AVERAGE(H27:H30)</f>
        <v>36.1665</v>
      </c>
      <c r="J30" s="19">
        <f>-(G30-D30)+J29</f>
        <v>207.529</v>
      </c>
    </row>
    <row r="31" ht="20.05" customHeight="1">
      <c r="B31" s="32"/>
      <c r="C31" s="18"/>
      <c r="D31" s="19"/>
      <c r="E31" s="19"/>
      <c r="F31" s="23"/>
      <c r="G31" s="19"/>
      <c r="H31" s="19"/>
      <c r="I31" s="19">
        <f>SUM('Model'!F9:F10)</f>
        <v>70.60376189346999</v>
      </c>
      <c r="J31" s="19">
        <f>'Model'!F33</f>
        <v>482.498647018799</v>
      </c>
    </row>
  </sheetData>
  <mergeCells count="1">
    <mergeCell ref="B2:J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8.85156" style="37" customWidth="1"/>
    <col min="2" max="2" width="10.3672" style="37" customWidth="1"/>
    <col min="3" max="11" width="10.5078" style="37" customWidth="1"/>
    <col min="12" max="16384" width="16.3516" style="37" customWidth="1"/>
  </cols>
  <sheetData>
    <row r="1" ht="10" customHeight="1"/>
    <row r="2" ht="27.65" customHeight="1">
      <c r="B2" t="s" s="2">
        <v>53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4">
        <v>1</v>
      </c>
      <c r="C3" t="s" s="4">
        <v>54</v>
      </c>
      <c r="D3" t="s" s="4">
        <v>55</v>
      </c>
      <c r="E3" t="s" s="4">
        <v>22</v>
      </c>
      <c r="F3" t="s" s="4">
        <v>23</v>
      </c>
      <c r="G3" t="s" s="4">
        <v>11</v>
      </c>
      <c r="H3" t="s" s="4">
        <v>56</v>
      </c>
      <c r="I3" t="s" s="4">
        <v>57</v>
      </c>
      <c r="J3" t="s" s="4">
        <v>26</v>
      </c>
      <c r="K3" t="s" s="4">
        <v>34</v>
      </c>
    </row>
    <row r="4" ht="20.25" customHeight="1">
      <c r="B4" s="27">
        <v>2015</v>
      </c>
      <c r="C4" s="36">
        <v>328.2</v>
      </c>
      <c r="D4" s="30">
        <v>2334.5</v>
      </c>
      <c r="E4" s="30">
        <f>D4-C4</f>
        <v>2006.3</v>
      </c>
      <c r="F4" s="30"/>
      <c r="G4" s="30">
        <v>524.7</v>
      </c>
      <c r="H4" s="30">
        <v>1809.8</v>
      </c>
      <c r="I4" s="30">
        <f>G4+H4-C4-E4</f>
        <v>0</v>
      </c>
      <c r="J4" s="30">
        <f>C4-G4</f>
        <v>-196.5</v>
      </c>
      <c r="K4" s="30"/>
    </row>
    <row r="5" ht="20.05" customHeight="1">
      <c r="B5" s="32"/>
      <c r="C5" s="18">
        <v>270.1</v>
      </c>
      <c r="D5" s="19">
        <v>2290.3</v>
      </c>
      <c r="E5" s="19">
        <f>D5-C5</f>
        <v>2020.2</v>
      </c>
      <c r="F5" s="19"/>
      <c r="G5" s="19">
        <v>463.6</v>
      </c>
      <c r="H5" s="19">
        <v>1827</v>
      </c>
      <c r="I5" s="19">
        <f>G5+H5-C5-E5</f>
        <v>0.3</v>
      </c>
      <c r="J5" s="19">
        <f>C5-G5</f>
        <v>-193.5</v>
      </c>
      <c r="K5" s="19"/>
    </row>
    <row r="6" ht="20.05" customHeight="1">
      <c r="B6" s="32"/>
      <c r="C6" s="18">
        <v>318.5</v>
      </c>
      <c r="D6" s="19">
        <v>2283.7</v>
      </c>
      <c r="E6" s="19">
        <f>D6-C6</f>
        <v>1965.2</v>
      </c>
      <c r="F6" s="19"/>
      <c r="G6" s="19">
        <v>446.7</v>
      </c>
      <c r="H6" s="19">
        <v>1837.2</v>
      </c>
      <c r="I6" s="19">
        <f>G6+H6-C6-E6</f>
        <v>0.2</v>
      </c>
      <c r="J6" s="19">
        <f>C6-G6</f>
        <v>-128.2</v>
      </c>
      <c r="K6" s="19"/>
    </row>
    <row r="7" ht="20.05" customHeight="1">
      <c r="B7" s="32"/>
      <c r="C7" s="18">
        <v>194.8</v>
      </c>
      <c r="D7" s="19">
        <v>2289.2</v>
      </c>
      <c r="E7" s="19">
        <f>D7-C7</f>
        <v>2094.4</v>
      </c>
      <c r="F7" s="19"/>
      <c r="G7" s="19">
        <v>455.2</v>
      </c>
      <c r="H7" s="19">
        <v>1834</v>
      </c>
      <c r="I7" s="19">
        <f>G7+H7-C7-E7</f>
        <v>0</v>
      </c>
      <c r="J7" s="19">
        <f>C7-G7</f>
        <v>-260.4</v>
      </c>
      <c r="K7" s="19"/>
    </row>
    <row r="8" ht="20.05" customHeight="1">
      <c r="B8" s="33">
        <v>2016</v>
      </c>
      <c r="C8" s="18">
        <v>232.3</v>
      </c>
      <c r="D8" s="19">
        <v>2222.1</v>
      </c>
      <c r="E8" s="19">
        <f>D8-C8</f>
        <v>1989.8</v>
      </c>
      <c r="F8" s="19"/>
      <c r="G8" s="19">
        <v>403.5</v>
      </c>
      <c r="H8" s="19">
        <v>1818.5</v>
      </c>
      <c r="I8" s="19">
        <f>G8+H8-C8-E8</f>
        <v>-0.1</v>
      </c>
      <c r="J8" s="19">
        <f>C8-G8</f>
        <v>-171.2</v>
      </c>
      <c r="K8" s="19"/>
    </row>
    <row r="9" ht="20.05" customHeight="1">
      <c r="B9" s="32"/>
      <c r="C9" s="18">
        <v>257.5</v>
      </c>
      <c r="D9" s="19">
        <v>2217</v>
      </c>
      <c r="E9" s="19">
        <f>D9-C9</f>
        <v>1959.5</v>
      </c>
      <c r="F9" s="19"/>
      <c r="G9" s="19">
        <v>402.8</v>
      </c>
      <c r="H9" s="19">
        <v>1813.9</v>
      </c>
      <c r="I9" s="19">
        <f>G9+H9-C9-E9</f>
        <v>-0.3</v>
      </c>
      <c r="J9" s="19">
        <f>C9-G9</f>
        <v>-145.3</v>
      </c>
      <c r="K9" s="19"/>
    </row>
    <row r="10" ht="20.05" customHeight="1">
      <c r="B10" s="32"/>
      <c r="C10" s="18">
        <v>200.4</v>
      </c>
      <c r="D10" s="19">
        <v>2215.7</v>
      </c>
      <c r="E10" s="19">
        <f>D10-C10</f>
        <v>2015.3</v>
      </c>
      <c r="F10" s="19"/>
      <c r="G10" s="19">
        <v>388.8</v>
      </c>
      <c r="H10" s="19">
        <v>1827</v>
      </c>
      <c r="I10" s="19">
        <f>G10+H10-C10-E10</f>
        <v>0.1</v>
      </c>
      <c r="J10" s="19">
        <f>C10-G10</f>
        <v>-188.4</v>
      </c>
      <c r="K10" s="19"/>
    </row>
    <row r="11" ht="20.05" customHeight="1">
      <c r="B11" s="32"/>
      <c r="C11" s="18">
        <v>185.6</v>
      </c>
      <c r="D11" s="19">
        <v>2225.5</v>
      </c>
      <c r="E11" s="19">
        <f>D11-C11</f>
        <v>2039.9</v>
      </c>
      <c r="F11" s="19"/>
      <c r="G11" s="19">
        <v>390.9</v>
      </c>
      <c r="H11" s="19">
        <v>1834.6</v>
      </c>
      <c r="I11" s="19">
        <f>G11+H11-C11-E11</f>
        <v>0</v>
      </c>
      <c r="J11" s="19">
        <f>C11-G11</f>
        <v>-205.3</v>
      </c>
      <c r="K11" s="19"/>
    </row>
    <row r="12" ht="20.05" customHeight="1">
      <c r="B12" s="33">
        <v>2017</v>
      </c>
      <c r="C12" s="18">
        <v>235.5</v>
      </c>
      <c r="D12" s="19">
        <v>2193.5</v>
      </c>
      <c r="E12" s="19">
        <f>D12-C12</f>
        <v>1958</v>
      </c>
      <c r="F12" s="19"/>
      <c r="G12" s="19">
        <v>365.2</v>
      </c>
      <c r="H12" s="19">
        <v>1828.3</v>
      </c>
      <c r="I12" s="19">
        <f>G12+H12-C12-E12</f>
        <v>0</v>
      </c>
      <c r="J12" s="19">
        <f>C12-G12</f>
        <v>-129.7</v>
      </c>
      <c r="K12" s="19"/>
    </row>
    <row r="13" ht="20.05" customHeight="1">
      <c r="B13" s="32"/>
      <c r="C13" s="18">
        <v>260.7</v>
      </c>
      <c r="D13" s="19">
        <v>2169.4</v>
      </c>
      <c r="E13" s="19">
        <f>D13-C13</f>
        <v>1908.7</v>
      </c>
      <c r="F13" s="19"/>
      <c r="G13" s="19">
        <v>356.5</v>
      </c>
      <c r="H13" s="19">
        <v>1812.9</v>
      </c>
      <c r="I13" s="19">
        <f>G13+H13-C13-E13</f>
        <v>0</v>
      </c>
      <c r="J13" s="19">
        <f>C13-G13</f>
        <v>-95.8</v>
      </c>
      <c r="K13" s="19"/>
    </row>
    <row r="14" ht="20.05" customHeight="1">
      <c r="B14" s="32"/>
      <c r="C14" s="18">
        <v>236.6</v>
      </c>
      <c r="D14" s="19">
        <v>2162.6</v>
      </c>
      <c r="E14" s="19">
        <f>D14-C14</f>
        <v>1926</v>
      </c>
      <c r="F14" s="19"/>
      <c r="G14" s="19">
        <v>347.9</v>
      </c>
      <c r="H14" s="19">
        <v>1814.8</v>
      </c>
      <c r="I14" s="19">
        <f>G14+H14-C14-E14</f>
        <v>0.1</v>
      </c>
      <c r="J14" s="19">
        <f>C14-G14</f>
        <v>-111.3</v>
      </c>
      <c r="K14" s="19"/>
    </row>
    <row r="15" ht="20.05" customHeight="1">
      <c r="B15" s="32"/>
      <c r="C15" s="18">
        <v>221.7</v>
      </c>
      <c r="D15" s="19">
        <v>2184.6</v>
      </c>
      <c r="E15" s="19">
        <f>D15-C15</f>
        <v>1962.9</v>
      </c>
      <c r="F15" s="19"/>
      <c r="G15" s="19">
        <v>365.2</v>
      </c>
      <c r="H15" s="19">
        <v>1819.4</v>
      </c>
      <c r="I15" s="19">
        <f>G15+H15-C15-E15</f>
        <v>0</v>
      </c>
      <c r="J15" s="19">
        <f>C15-G15</f>
        <v>-143.5</v>
      </c>
      <c r="K15" s="19"/>
    </row>
    <row r="16" ht="20.05" customHeight="1">
      <c r="B16" s="33">
        <v>2018</v>
      </c>
      <c r="C16" s="18">
        <v>177.9</v>
      </c>
      <c r="D16" s="19">
        <v>2157.5</v>
      </c>
      <c r="E16" s="19">
        <f>D16-C16</f>
        <v>1979.6</v>
      </c>
      <c r="F16" s="19"/>
      <c r="G16" s="19">
        <v>331.2</v>
      </c>
      <c r="H16" s="19">
        <v>1826.4</v>
      </c>
      <c r="I16" s="19">
        <f>G16+H16-C16-E16</f>
        <v>0.1</v>
      </c>
      <c r="J16" s="19">
        <f>C16-G16</f>
        <v>-153.3</v>
      </c>
      <c r="K16" s="19"/>
    </row>
    <row r="17" ht="20.05" customHeight="1">
      <c r="B17" s="32"/>
      <c r="C17" s="18">
        <v>185.9</v>
      </c>
      <c r="D17" s="19">
        <v>2159.9</v>
      </c>
      <c r="E17" s="19">
        <f>D17-C17</f>
        <v>1974</v>
      </c>
      <c r="F17" s="19"/>
      <c r="G17" s="19">
        <v>310.9</v>
      </c>
      <c r="H17" s="19">
        <v>1848.9</v>
      </c>
      <c r="I17" s="19">
        <f>G17+H17-C17-E17</f>
        <v>-0.1</v>
      </c>
      <c r="J17" s="19">
        <f>C17-G17</f>
        <v>-125</v>
      </c>
      <c r="K17" s="19"/>
    </row>
    <row r="18" ht="20.05" customHeight="1">
      <c r="B18" s="32"/>
      <c r="C18" s="18">
        <v>266.3</v>
      </c>
      <c r="D18" s="19">
        <v>2186.4</v>
      </c>
      <c r="E18" s="19">
        <f>D18-C18</f>
        <v>1920.1</v>
      </c>
      <c r="F18" s="19"/>
      <c r="G18" s="19">
        <v>311.7</v>
      </c>
      <c r="H18" s="19">
        <v>1874.7</v>
      </c>
      <c r="I18" s="19">
        <f>G18+H18-C18-E18</f>
        <v>0</v>
      </c>
      <c r="J18" s="19">
        <f>C18-G18</f>
        <v>-45.4</v>
      </c>
      <c r="K18" s="19"/>
    </row>
    <row r="19" ht="20.05" customHeight="1">
      <c r="B19" s="32"/>
      <c r="C19" s="18">
        <v>301.2</v>
      </c>
      <c r="D19" s="19">
        <v>2202.5</v>
      </c>
      <c r="E19" s="19">
        <f>D19-C19</f>
        <v>1901.3</v>
      </c>
      <c r="F19" s="19">
        <v>2168</v>
      </c>
      <c r="G19" s="19">
        <v>318.7</v>
      </c>
      <c r="H19" s="19">
        <v>1883.7</v>
      </c>
      <c r="I19" s="19">
        <f>G19+H19-C19-E19</f>
        <v>-0.1</v>
      </c>
      <c r="J19" s="19">
        <f>C19-G19</f>
        <v>-17.5</v>
      </c>
      <c r="K19" s="19"/>
    </row>
    <row r="20" ht="20.05" customHeight="1">
      <c r="B20" s="33">
        <v>2019</v>
      </c>
      <c r="C20" s="18">
        <v>219.4</v>
      </c>
      <c r="D20" s="19">
        <v>2139.3</v>
      </c>
      <c r="E20" s="19">
        <f>D20-C20</f>
        <v>1919.9</v>
      </c>
      <c r="F20" s="19">
        <v>2185</v>
      </c>
      <c r="G20" s="19">
        <v>279.6</v>
      </c>
      <c r="H20" s="19">
        <v>1859.7</v>
      </c>
      <c r="I20" s="19">
        <f>G20+H20-C20-E20</f>
        <v>0</v>
      </c>
      <c r="J20" s="19">
        <f>C20-G20</f>
        <v>-60.2</v>
      </c>
      <c r="K20" s="19"/>
    </row>
    <row r="21" ht="20.05" customHeight="1">
      <c r="B21" s="32"/>
      <c r="C21" s="18">
        <v>111.9</v>
      </c>
      <c r="D21" s="19">
        <v>2109.8</v>
      </c>
      <c r="E21" s="19">
        <f>D21-C21</f>
        <v>1997.9</v>
      </c>
      <c r="F21" s="19">
        <v>2212</v>
      </c>
      <c r="G21" s="19">
        <v>251.3</v>
      </c>
      <c r="H21" s="19">
        <v>1858</v>
      </c>
      <c r="I21" s="19">
        <f>G21+H21-C21-E21</f>
        <v>-0.5</v>
      </c>
      <c r="J21" s="19">
        <f>C21-G21</f>
        <v>-139.4</v>
      </c>
      <c r="K21" s="19"/>
    </row>
    <row r="22" ht="20.05" customHeight="1">
      <c r="B22" s="32"/>
      <c r="C22" s="18">
        <v>201.8</v>
      </c>
      <c r="D22" s="19">
        <v>2162.2</v>
      </c>
      <c r="E22" s="19">
        <f>D22-C22</f>
        <v>1960.4</v>
      </c>
      <c r="F22" s="19">
        <v>2236</v>
      </c>
      <c r="G22" s="19">
        <v>277.1</v>
      </c>
      <c r="H22" s="19">
        <v>1885</v>
      </c>
      <c r="I22" s="19">
        <f>G22+H22-C22-E22</f>
        <v>-0.1</v>
      </c>
      <c r="J22" s="19">
        <f>C22-G22</f>
        <v>-75.3</v>
      </c>
      <c r="K22" s="19"/>
    </row>
    <row r="23" ht="20.05" customHeight="1">
      <c r="B23" s="32"/>
      <c r="C23" s="18">
        <v>249</v>
      </c>
      <c r="D23" s="19">
        <v>2223</v>
      </c>
      <c r="E23" s="19">
        <f>D23-C23</f>
        <v>1974</v>
      </c>
      <c r="F23" s="19">
        <v>2260</v>
      </c>
      <c r="G23" s="19">
        <v>281</v>
      </c>
      <c r="H23" s="19">
        <v>1942</v>
      </c>
      <c r="I23" s="19">
        <f>G23+H23-C23-E23</f>
        <v>0</v>
      </c>
      <c r="J23" s="19">
        <f>C23-G23</f>
        <v>-32</v>
      </c>
      <c r="K23" s="19"/>
    </row>
    <row r="24" ht="20.05" customHeight="1">
      <c r="B24" s="33">
        <v>2020</v>
      </c>
      <c r="C24" s="18">
        <v>292.7</v>
      </c>
      <c r="D24" s="19">
        <v>2197.5</v>
      </c>
      <c r="E24" s="19">
        <f>D24-C24</f>
        <v>1904.8</v>
      </c>
      <c r="F24" s="19">
        <v>2287</v>
      </c>
      <c r="G24" s="19">
        <v>226</v>
      </c>
      <c r="H24" s="19">
        <v>1971</v>
      </c>
      <c r="I24" s="19">
        <f>G24+H24-C24-E24</f>
        <v>-0.5</v>
      </c>
      <c r="J24" s="19">
        <f>C24-G24</f>
        <v>66.7</v>
      </c>
      <c r="K24" s="19"/>
    </row>
    <row r="25" ht="20.05" customHeight="1">
      <c r="B25" s="32"/>
      <c r="C25" s="18">
        <v>289</v>
      </c>
      <c r="D25" s="19">
        <v>2237</v>
      </c>
      <c r="E25" s="19">
        <f>D25-C25</f>
        <v>1948</v>
      </c>
      <c r="F25" s="19">
        <v>2324</v>
      </c>
      <c r="G25" s="19">
        <v>242</v>
      </c>
      <c r="H25" s="19">
        <v>1995</v>
      </c>
      <c r="I25" s="19">
        <f>G25+H25-C25-E25</f>
        <v>0</v>
      </c>
      <c r="J25" s="19">
        <f>C25-G25</f>
        <v>47</v>
      </c>
      <c r="K25" s="19"/>
    </row>
    <row r="26" ht="20.05" customHeight="1">
      <c r="B26" s="32"/>
      <c r="C26" s="18">
        <v>361</v>
      </c>
      <c r="D26" s="19">
        <v>2278</v>
      </c>
      <c r="E26" s="19">
        <f>D26-C26</f>
        <v>1917</v>
      </c>
      <c r="F26" s="19">
        <f>F25+'Sales'!E26</f>
        <v>2363</v>
      </c>
      <c r="G26" s="19">
        <v>260</v>
      </c>
      <c r="H26" s="19">
        <v>2018</v>
      </c>
      <c r="I26" s="19">
        <f>G26+H26-C26-E26</f>
        <v>0</v>
      </c>
      <c r="J26" s="19">
        <f>C26-G26</f>
        <v>101</v>
      </c>
      <c r="K26" s="19"/>
    </row>
    <row r="27" ht="20.05" customHeight="1">
      <c r="B27" s="32"/>
      <c r="C27" s="18">
        <v>389</v>
      </c>
      <c r="D27" s="19">
        <v>2315</v>
      </c>
      <c r="E27" s="19">
        <f>D27-C27</f>
        <v>1926</v>
      </c>
      <c r="F27" s="19">
        <v>2372</v>
      </c>
      <c r="G27" s="19">
        <v>295</v>
      </c>
      <c r="H27" s="19">
        <v>2020</v>
      </c>
      <c r="I27" s="19">
        <f>G27+H27-C27-E27</f>
        <v>0</v>
      </c>
      <c r="J27" s="19">
        <f>C27-G27</f>
        <v>94</v>
      </c>
      <c r="K27" s="19"/>
    </row>
    <row r="28" ht="20.05" customHeight="1">
      <c r="B28" s="33">
        <v>2021</v>
      </c>
      <c r="C28" s="18">
        <v>386</v>
      </c>
      <c r="D28" s="19">
        <v>2327</v>
      </c>
      <c r="E28" s="19">
        <f>D28-C28</f>
        <v>1941</v>
      </c>
      <c r="F28" s="19">
        <v>2409</v>
      </c>
      <c r="G28" s="19">
        <v>273</v>
      </c>
      <c r="H28" s="19">
        <v>2054</v>
      </c>
      <c r="I28" s="19">
        <f>G28+H28-C28-E28</f>
        <v>0</v>
      </c>
      <c r="J28" s="19">
        <f>C28-G28</f>
        <v>113</v>
      </c>
      <c r="K28" s="19"/>
    </row>
    <row r="29" ht="20.05" customHeight="1">
      <c r="B29" s="32"/>
      <c r="C29" s="18">
        <v>426</v>
      </c>
      <c r="D29" s="19">
        <v>2337</v>
      </c>
      <c r="E29" s="19">
        <f>D29-C29</f>
        <v>1911</v>
      </c>
      <c r="F29" s="19">
        <v>2447</v>
      </c>
      <c r="G29" s="19">
        <v>291</v>
      </c>
      <c r="H29" s="19">
        <v>2046</v>
      </c>
      <c r="I29" s="19">
        <f>G29+H29-C29-E29</f>
        <v>0</v>
      </c>
      <c r="J29" s="19">
        <f>C29-G29</f>
        <v>135</v>
      </c>
      <c r="K29" s="19"/>
    </row>
    <row r="30" ht="20.05" customHeight="1">
      <c r="B30" s="32"/>
      <c r="C30" s="18">
        <v>469.6</v>
      </c>
      <c r="D30" s="19">
        <v>2402.9</v>
      </c>
      <c r="E30" s="19">
        <f>D30-C30</f>
        <v>1933.3</v>
      </c>
      <c r="F30" s="19">
        <f>F29+'Sales'!E30</f>
        <v>2487.4</v>
      </c>
      <c r="G30" s="19">
        <v>292.2</v>
      </c>
      <c r="H30" s="19">
        <v>2110.7</v>
      </c>
      <c r="I30" s="19">
        <f>G30+H30-C30-E30</f>
        <v>0</v>
      </c>
      <c r="J30" s="19">
        <f>C30-G30</f>
        <v>177.4</v>
      </c>
      <c r="K30" s="19">
        <f>J30</f>
        <v>177.4</v>
      </c>
    </row>
    <row r="31" ht="20.05" customHeight="1">
      <c r="B31" s="32"/>
      <c r="C31" s="18"/>
      <c r="D31" s="19"/>
      <c r="E31" s="19"/>
      <c r="F31" s="19"/>
      <c r="G31" s="19"/>
      <c r="H31" s="19"/>
      <c r="I31" s="19"/>
      <c r="J31" s="19"/>
      <c r="K31" s="19">
        <f>'Model'!F30</f>
        <v>226.2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P186"/>
  <sheetViews>
    <sheetView workbookViewId="0" showGridLines="0" defaultGridColor="1"/>
  </sheetViews>
  <sheetFormatPr defaultColWidth="8.33333" defaultRowHeight="19.9" customHeight="1" outlineLevelRow="0" outlineLevelCol="0"/>
  <cols>
    <col min="1" max="1" width="8.13281" style="38" customWidth="1"/>
    <col min="2" max="2" width="6.49219" style="38" customWidth="1"/>
    <col min="3" max="4" width="8.46875" style="38" customWidth="1"/>
    <col min="5" max="16" width="16.3516" style="48" customWidth="1"/>
    <col min="17" max="16384" width="8.35156" style="48" customWidth="1"/>
  </cols>
  <sheetData>
    <row r="1" ht="28.55" customHeight="1"/>
    <row r="2" ht="27.65" customHeight="1">
      <c r="B2" t="s" s="2">
        <v>58</v>
      </c>
      <c r="C2" s="2"/>
      <c r="D2" s="2"/>
    </row>
    <row r="3" ht="20.25" customHeight="1">
      <c r="B3" t="s" s="39">
        <v>59</v>
      </c>
      <c r="C3" t="s" s="39">
        <v>60</v>
      </c>
      <c r="D3" t="s" s="39">
        <v>61</v>
      </c>
    </row>
    <row r="4" ht="20.25" customHeight="1">
      <c r="B4" s="40">
        <v>2014</v>
      </c>
      <c r="C4" s="41">
        <v>2315.745117</v>
      </c>
      <c r="D4" s="42"/>
    </row>
    <row r="5" ht="20.05" customHeight="1">
      <c r="B5" s="43"/>
      <c r="C5" s="44">
        <v>2732.385498</v>
      </c>
      <c r="D5" s="45"/>
    </row>
    <row r="6" ht="20.05" customHeight="1">
      <c r="B6" s="43"/>
      <c r="C6" s="44">
        <v>3439.705078</v>
      </c>
      <c r="D6" s="45"/>
    </row>
    <row r="7" ht="20.05" customHeight="1">
      <c r="B7" s="43"/>
      <c r="C7" s="44">
        <v>3793.36499</v>
      </c>
      <c r="D7" s="45"/>
    </row>
    <row r="8" ht="20.05" customHeight="1">
      <c r="B8" s="43"/>
      <c r="C8" s="44">
        <v>3444.549805</v>
      </c>
      <c r="D8" s="45"/>
    </row>
    <row r="9" ht="20.05" customHeight="1">
      <c r="B9" s="43"/>
      <c r="C9" s="44">
        <v>3899.947266</v>
      </c>
      <c r="D9" s="45"/>
    </row>
    <row r="10" ht="20.05" customHeight="1">
      <c r="B10" s="43"/>
      <c r="C10" s="44">
        <v>4050.131592</v>
      </c>
      <c r="D10" s="45"/>
    </row>
    <row r="11" ht="20.05" customHeight="1">
      <c r="B11" s="43"/>
      <c r="C11" s="44">
        <v>3633.491211</v>
      </c>
      <c r="D11" s="45"/>
    </row>
    <row r="12" ht="20.05" customHeight="1">
      <c r="B12" s="43"/>
      <c r="C12" s="44">
        <v>3672.248535</v>
      </c>
      <c r="D12" s="45"/>
    </row>
    <row r="13" ht="20.05" customHeight="1">
      <c r="B13" s="43"/>
      <c r="C13" s="44">
        <v>3861.190186</v>
      </c>
      <c r="D13" s="45"/>
    </row>
    <row r="14" ht="20.05" customHeight="1">
      <c r="B14" s="43"/>
      <c r="C14" s="44">
        <v>3512.375</v>
      </c>
      <c r="D14" s="45"/>
    </row>
    <row r="15" ht="20.05" customHeight="1">
      <c r="B15" s="43"/>
      <c r="C15" s="44">
        <v>3450</v>
      </c>
      <c r="D15" s="45"/>
    </row>
    <row r="16" ht="20.05" customHeight="1">
      <c r="B16" s="46">
        <v>2015</v>
      </c>
      <c r="C16" s="44">
        <v>3525</v>
      </c>
      <c r="D16" s="45"/>
    </row>
    <row r="17" ht="20.05" customHeight="1">
      <c r="B17" s="43"/>
      <c r="C17" s="44">
        <v>3235</v>
      </c>
      <c r="D17" s="45"/>
    </row>
    <row r="18" ht="20.05" customHeight="1">
      <c r="B18" s="43"/>
      <c r="C18" s="44">
        <v>2795</v>
      </c>
      <c r="D18" s="45"/>
    </row>
    <row r="19" ht="20.05" customHeight="1">
      <c r="B19" s="43"/>
      <c r="C19" s="44">
        <v>3120</v>
      </c>
      <c r="D19" s="45"/>
    </row>
    <row r="20" ht="20.05" customHeight="1">
      <c r="B20" s="43"/>
      <c r="C20" s="44">
        <v>2710</v>
      </c>
      <c r="D20" s="45"/>
    </row>
    <row r="21" ht="20.05" customHeight="1">
      <c r="B21" s="43"/>
      <c r="C21" s="44">
        <v>1960</v>
      </c>
      <c r="D21" s="45"/>
    </row>
    <row r="22" ht="20.05" customHeight="1">
      <c r="B22" s="43"/>
      <c r="C22" s="44">
        <v>1545</v>
      </c>
      <c r="D22" s="45"/>
    </row>
    <row r="23" ht="20.05" customHeight="1">
      <c r="B23" s="43"/>
      <c r="C23" s="44">
        <v>2185</v>
      </c>
      <c r="D23" s="45"/>
    </row>
    <row r="24" ht="20.05" customHeight="1">
      <c r="B24" s="43"/>
      <c r="C24" s="44">
        <v>2235</v>
      </c>
      <c r="D24" s="45"/>
    </row>
    <row r="25" ht="20.05" customHeight="1">
      <c r="B25" s="43"/>
      <c r="C25" s="44">
        <v>1645</v>
      </c>
      <c r="D25" s="45"/>
    </row>
    <row r="26" ht="20.05" customHeight="1">
      <c r="B26" s="43"/>
      <c r="C26" s="44">
        <v>1635</v>
      </c>
      <c r="D26" s="45"/>
    </row>
    <row r="27" ht="20.05" customHeight="1">
      <c r="B27" s="43"/>
      <c r="C27" s="44">
        <v>1445</v>
      </c>
      <c r="D27" s="45"/>
    </row>
    <row r="28" ht="20.05" customHeight="1">
      <c r="B28" s="46">
        <v>2016</v>
      </c>
      <c r="C28" s="44">
        <v>1535</v>
      </c>
      <c r="D28" s="45"/>
    </row>
    <row r="29" ht="20.05" customHeight="1">
      <c r="B29" s="43"/>
      <c r="C29" s="44">
        <v>1750</v>
      </c>
      <c r="D29" s="45"/>
    </row>
    <row r="30" ht="20.05" customHeight="1">
      <c r="B30" s="43"/>
      <c r="C30" s="44">
        <v>1860</v>
      </c>
      <c r="D30" s="45"/>
    </row>
    <row r="31" ht="20.05" customHeight="1">
      <c r="B31" s="43"/>
      <c r="C31" s="44">
        <v>1655</v>
      </c>
      <c r="D31" s="45"/>
    </row>
    <row r="32" ht="20.05" customHeight="1">
      <c r="B32" s="43"/>
      <c r="C32" s="44">
        <v>1820</v>
      </c>
      <c r="D32" s="45"/>
    </row>
    <row r="33" ht="20.05" customHeight="1">
      <c r="B33" s="43"/>
      <c r="C33" s="44">
        <v>2560</v>
      </c>
      <c r="D33" s="45"/>
    </row>
    <row r="34" ht="20.05" customHeight="1">
      <c r="B34" s="43"/>
      <c r="C34" s="44">
        <v>2640</v>
      </c>
      <c r="D34" s="45"/>
    </row>
    <row r="35" ht="20.05" customHeight="1">
      <c r="B35" s="43"/>
      <c r="C35" s="44">
        <v>2950</v>
      </c>
      <c r="D35" s="45"/>
    </row>
    <row r="36" ht="20.05" customHeight="1">
      <c r="B36" s="43"/>
      <c r="C36" s="44">
        <v>2720</v>
      </c>
      <c r="D36" s="45"/>
    </row>
    <row r="37" ht="20.05" customHeight="1">
      <c r="B37" s="43"/>
      <c r="C37" s="44">
        <v>3380</v>
      </c>
      <c r="D37" s="45"/>
    </row>
    <row r="38" ht="20.05" customHeight="1">
      <c r="B38" s="43"/>
      <c r="C38" s="44">
        <v>2820</v>
      </c>
      <c r="D38" s="45"/>
    </row>
    <row r="39" ht="20.05" customHeight="1">
      <c r="B39" s="43"/>
      <c r="C39" s="44">
        <v>2370</v>
      </c>
      <c r="D39" s="45"/>
    </row>
    <row r="40" ht="20.05" customHeight="1">
      <c r="B40" s="46">
        <v>2017</v>
      </c>
      <c r="C40" s="44">
        <v>2550</v>
      </c>
      <c r="D40" s="45"/>
    </row>
    <row r="41" ht="20.05" customHeight="1">
      <c r="B41" s="43"/>
      <c r="C41" s="44">
        <v>2390</v>
      </c>
      <c r="D41" s="45"/>
    </row>
    <row r="42" ht="20.05" customHeight="1">
      <c r="B42" s="43"/>
      <c r="C42" s="44">
        <v>2220</v>
      </c>
      <c r="D42" s="45"/>
    </row>
    <row r="43" ht="20.05" customHeight="1">
      <c r="B43" s="43"/>
      <c r="C43" s="44">
        <v>1905</v>
      </c>
      <c r="D43" s="45"/>
    </row>
    <row r="44" ht="20.05" customHeight="1">
      <c r="B44" s="43"/>
      <c r="C44" s="44">
        <v>1850</v>
      </c>
      <c r="D44" s="45"/>
    </row>
    <row r="45" ht="20.05" customHeight="1">
      <c r="B45" s="43"/>
      <c r="C45" s="44">
        <v>2420</v>
      </c>
      <c r="D45" s="45"/>
    </row>
    <row r="46" ht="20.05" customHeight="1">
      <c r="B46" s="43"/>
      <c r="C46" s="44">
        <v>2970</v>
      </c>
      <c r="D46" s="45"/>
    </row>
    <row r="47" ht="20.05" customHeight="1">
      <c r="B47" s="43"/>
      <c r="C47" s="44">
        <v>2590</v>
      </c>
      <c r="D47" s="45"/>
    </row>
    <row r="48" ht="20.05" customHeight="1">
      <c r="B48" s="43"/>
      <c r="C48" s="44">
        <v>2940</v>
      </c>
      <c r="D48" s="45"/>
    </row>
    <row r="49" ht="20.05" customHeight="1">
      <c r="B49" s="43"/>
      <c r="C49" s="44">
        <v>2760</v>
      </c>
      <c r="D49" s="45"/>
    </row>
    <row r="50" ht="20.05" customHeight="1">
      <c r="B50" s="43"/>
      <c r="C50" s="44">
        <v>2890</v>
      </c>
      <c r="D50" s="45"/>
    </row>
    <row r="51" ht="20.05" customHeight="1">
      <c r="B51" s="43"/>
      <c r="C51" s="44">
        <v>3750</v>
      </c>
      <c r="D51" s="45"/>
    </row>
    <row r="52" ht="20.05" customHeight="1">
      <c r="B52" s="46">
        <v>2018</v>
      </c>
      <c r="C52" s="44">
        <v>3390</v>
      </c>
      <c r="D52" s="45"/>
    </row>
    <row r="53" ht="20.05" customHeight="1">
      <c r="B53" s="43"/>
      <c r="C53" s="44">
        <v>2790</v>
      </c>
      <c r="D53" s="45"/>
    </row>
    <row r="54" ht="20.05" customHeight="1">
      <c r="B54" s="43"/>
      <c r="C54" s="44">
        <v>3160</v>
      </c>
      <c r="D54" s="45"/>
    </row>
    <row r="55" ht="20.05" customHeight="1">
      <c r="B55" s="43"/>
      <c r="C55" s="44">
        <v>3860</v>
      </c>
      <c r="D55" s="45"/>
    </row>
    <row r="56" ht="20.05" customHeight="1">
      <c r="B56" s="43"/>
      <c r="C56" s="44">
        <v>4040</v>
      </c>
      <c r="D56" s="45"/>
    </row>
    <row r="57" ht="20.05" customHeight="1">
      <c r="B57" s="43"/>
      <c r="C57" s="44">
        <v>4370</v>
      </c>
      <c r="D57" s="45"/>
    </row>
    <row r="58" ht="20.05" customHeight="1">
      <c r="B58" s="43"/>
      <c r="C58" s="44">
        <v>3800</v>
      </c>
      <c r="D58" s="45"/>
    </row>
    <row r="59" ht="20.05" customHeight="1">
      <c r="B59" s="43"/>
      <c r="C59" s="44">
        <v>3710</v>
      </c>
      <c r="D59" s="45"/>
    </row>
    <row r="60" ht="20.05" customHeight="1">
      <c r="B60" s="43"/>
      <c r="C60" s="44">
        <v>2920</v>
      </c>
      <c r="D60" s="45"/>
    </row>
    <row r="61" ht="20.05" customHeight="1">
      <c r="B61" s="43"/>
      <c r="C61" s="44">
        <v>3030</v>
      </c>
      <c r="D61" s="45"/>
    </row>
    <row r="62" ht="20.05" customHeight="1">
      <c r="B62" s="43"/>
      <c r="C62" s="44">
        <v>3260</v>
      </c>
      <c r="D62" s="45"/>
    </row>
    <row r="63" ht="20.05" customHeight="1">
      <c r="B63" s="43"/>
      <c r="C63" s="44">
        <v>3850</v>
      </c>
      <c r="D63" s="45"/>
    </row>
    <row r="64" ht="20.05" customHeight="1">
      <c r="B64" s="46">
        <v>2019</v>
      </c>
      <c r="C64" s="44">
        <v>3740</v>
      </c>
      <c r="D64" s="45"/>
    </row>
    <row r="65" ht="20.05" customHeight="1">
      <c r="B65" s="43"/>
      <c r="C65" s="44">
        <v>3390</v>
      </c>
      <c r="D65" s="45"/>
    </row>
    <row r="66" ht="20.05" customHeight="1">
      <c r="B66" s="43"/>
      <c r="C66" s="44">
        <v>3050</v>
      </c>
      <c r="D66" s="45"/>
    </row>
    <row r="67" ht="20.05" customHeight="1">
      <c r="B67" s="43"/>
      <c r="C67" s="44">
        <v>2700</v>
      </c>
      <c r="D67" s="45"/>
    </row>
    <row r="68" ht="20.05" customHeight="1">
      <c r="B68" s="43"/>
      <c r="C68" s="44">
        <v>3120</v>
      </c>
      <c r="D68" s="45"/>
    </row>
    <row r="69" ht="20.05" customHeight="1">
      <c r="B69" s="43"/>
      <c r="C69" s="44">
        <v>3030</v>
      </c>
      <c r="D69" s="45"/>
    </row>
    <row r="70" ht="20.05" customHeight="1">
      <c r="B70" s="43"/>
      <c r="C70" s="44">
        <v>3530</v>
      </c>
      <c r="D70" s="45"/>
    </row>
    <row r="71" ht="20.05" customHeight="1">
      <c r="B71" s="43"/>
      <c r="C71" s="44">
        <v>3510</v>
      </c>
      <c r="D71" s="45"/>
    </row>
    <row r="72" ht="20.05" customHeight="1">
      <c r="B72" s="43"/>
      <c r="C72" s="44">
        <v>3710</v>
      </c>
      <c r="D72" s="45"/>
    </row>
    <row r="73" ht="20.05" customHeight="1">
      <c r="B73" s="43"/>
      <c r="C73" s="44">
        <v>3000</v>
      </c>
      <c r="D73" s="45"/>
    </row>
    <row r="74" ht="20.05" customHeight="1">
      <c r="B74" s="43"/>
      <c r="C74" s="44">
        <v>3640</v>
      </c>
      <c r="D74" s="45"/>
    </row>
    <row r="75" ht="20.05" customHeight="1">
      <c r="B75" s="43"/>
      <c r="C75" s="44">
        <v>3160</v>
      </c>
      <c r="D75" s="45"/>
    </row>
    <row r="76" ht="20.05" customHeight="1">
      <c r="B76" s="46">
        <v>2020</v>
      </c>
      <c r="C76" s="44">
        <v>2450</v>
      </c>
      <c r="D76" s="45"/>
    </row>
    <row r="77" ht="20.05" customHeight="1">
      <c r="B77" s="43"/>
      <c r="C77" s="44">
        <v>2160</v>
      </c>
      <c r="D77" s="45"/>
    </row>
    <row r="78" ht="20.05" customHeight="1">
      <c r="B78" s="43"/>
      <c r="C78" s="44">
        <v>2570</v>
      </c>
      <c r="D78" s="45"/>
    </row>
    <row r="79" ht="20.05" customHeight="1">
      <c r="B79" s="43"/>
      <c r="C79" s="44">
        <v>2780</v>
      </c>
      <c r="D79" s="45"/>
    </row>
    <row r="80" ht="20.05" customHeight="1">
      <c r="B80" s="43"/>
      <c r="C80" s="44">
        <v>2800</v>
      </c>
      <c r="D80" s="45"/>
    </row>
    <row r="81" ht="20.05" customHeight="1">
      <c r="B81" s="43"/>
      <c r="C81" s="44">
        <v>3420</v>
      </c>
      <c r="D81" s="45"/>
    </row>
    <row r="82" ht="20.05" customHeight="1">
      <c r="B82" s="43"/>
      <c r="C82" s="44">
        <v>3790</v>
      </c>
      <c r="D82" s="47">
        <v>7045.320776927610</v>
      </c>
    </row>
    <row r="83" ht="20.05" customHeight="1">
      <c r="B83" s="43"/>
      <c r="C83" s="44">
        <v>3560</v>
      </c>
      <c r="D83" s="47">
        <v>7045.320776927610</v>
      </c>
    </row>
    <row r="84" ht="20.05" customHeight="1">
      <c r="B84" s="43"/>
      <c r="C84" s="44">
        <v>4050</v>
      </c>
      <c r="D84" s="47">
        <v>7045.320776927610</v>
      </c>
    </row>
    <row r="85" ht="20.05" customHeight="1">
      <c r="B85" s="43"/>
      <c r="C85" s="44">
        <v>4610</v>
      </c>
      <c r="D85" s="47">
        <v>8762.503106361830</v>
      </c>
    </row>
    <row r="86" ht="20.05" customHeight="1">
      <c r="B86" s="43"/>
      <c r="C86" s="44">
        <v>5100</v>
      </c>
      <c r="D86" s="47">
        <v>8762.503106361830</v>
      </c>
    </row>
    <row r="87" ht="20.05" customHeight="1">
      <c r="B87" s="43"/>
      <c r="C87" s="44">
        <v>5500</v>
      </c>
      <c r="D87" s="47">
        <v>8762.503106361830</v>
      </c>
    </row>
    <row r="88" ht="20.05" customHeight="1">
      <c r="B88" s="46">
        <v>2021</v>
      </c>
      <c r="C88" s="44">
        <v>6300</v>
      </c>
      <c r="D88" s="47">
        <v>8762.503106361830</v>
      </c>
    </row>
    <row r="89" ht="20.05" customHeight="1">
      <c r="B89" s="43"/>
      <c r="C89" s="44">
        <v>6075</v>
      </c>
      <c r="D89" s="47">
        <v>8253.035856388749</v>
      </c>
    </row>
    <row r="90" ht="20.05" customHeight="1">
      <c r="B90" s="43"/>
      <c r="C90" s="44">
        <v>4339.37793</v>
      </c>
      <c r="D90" s="47">
        <v>8253.035856388749</v>
      </c>
    </row>
    <row r="91" ht="20.05" customHeight="1">
      <c r="B91" s="43"/>
      <c r="C91" s="44">
        <v>4567.244629</v>
      </c>
      <c r="D91" s="47">
        <v>8150.924873918570</v>
      </c>
    </row>
    <row r="92" ht="20.05" customHeight="1">
      <c r="B92" s="43"/>
      <c r="C92" s="44">
        <v>4730</v>
      </c>
      <c r="D92" s="47">
        <v>8150.924873918570</v>
      </c>
    </row>
    <row r="93" ht="20.05" customHeight="1">
      <c r="B93" s="43"/>
      <c r="C93" s="44">
        <v>4610</v>
      </c>
      <c r="D93" s="47">
        <v>8150.924873918570</v>
      </c>
    </row>
    <row r="94" ht="20.05" customHeight="1">
      <c r="B94" s="43"/>
      <c r="C94" s="44">
        <v>5500</v>
      </c>
      <c r="D94" s="47">
        <v>8297.234791251880</v>
      </c>
    </row>
    <row r="95" ht="20.05" customHeight="1">
      <c r="B95" s="43"/>
      <c r="C95" s="44">
        <v>5025</v>
      </c>
      <c r="D95" s="45"/>
    </row>
    <row r="96" ht="20.05" customHeight="1">
      <c r="B96" s="43"/>
      <c r="C96" s="44">
        <v>4520</v>
      </c>
      <c r="D96" s="45"/>
    </row>
    <row r="97" ht="20.05" customHeight="1">
      <c r="B97" s="43"/>
      <c r="C97" s="44">
        <v>4790</v>
      </c>
      <c r="D97" s="47">
        <f>C97</f>
        <v>4790</v>
      </c>
    </row>
    <row r="98" ht="20.05" customHeight="1">
      <c r="B98" s="43"/>
      <c r="C98" s="44"/>
      <c r="D98" s="47">
        <f>'Model'!F43</f>
        <v>7360.290463288490</v>
      </c>
    </row>
    <row r="100" ht="27.65" customHeight="1">
      <c r="E100" t="s" s="2">
        <v>62</v>
      </c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ht="20.25" customHeight="1">
      <c r="E101" s="5"/>
      <c r="F101" t="s" s="49">
        <v>63</v>
      </c>
      <c r="G101" t="s" s="49">
        <v>64</v>
      </c>
      <c r="H101" t="s" s="49">
        <v>65</v>
      </c>
      <c r="I101" t="s" s="49">
        <v>60</v>
      </c>
      <c r="J101" s="5"/>
      <c r="K101" s="5"/>
      <c r="L101" s="5"/>
      <c r="M101" s="5"/>
      <c r="N101" s="5"/>
      <c r="O101" s="5"/>
      <c r="P101" s="5"/>
    </row>
    <row r="102" ht="20.25" customHeight="1">
      <c r="E102" s="27">
        <v>2014</v>
      </c>
      <c r="F102" s="36">
        <v>769.34</v>
      </c>
      <c r="G102" s="30">
        <v>20462</v>
      </c>
      <c r="H102" s="30">
        <v>14015</v>
      </c>
      <c r="I102" s="30">
        <v>2305</v>
      </c>
      <c r="J102" s="30"/>
      <c r="K102" s="30"/>
      <c r="L102" s="30"/>
      <c r="M102" s="30"/>
      <c r="N102" s="30"/>
      <c r="O102" s="30"/>
      <c r="P102" s="30"/>
    </row>
    <row r="103" ht="20.05" customHeight="1">
      <c r="E103" s="32"/>
      <c r="F103" s="18">
        <v>811.2</v>
      </c>
      <c r="G103" s="19">
        <v>24298</v>
      </c>
      <c r="H103" s="19">
        <v>14665</v>
      </c>
      <c r="I103" s="19">
        <v>2390</v>
      </c>
      <c r="J103" s="19"/>
      <c r="K103" s="19"/>
      <c r="L103" s="19"/>
      <c r="M103" s="19"/>
      <c r="N103" s="19"/>
      <c r="O103" s="19"/>
      <c r="P103" s="19"/>
    </row>
    <row r="104" ht="20.05" customHeight="1">
      <c r="E104" s="32"/>
      <c r="F104" s="18">
        <v>860.52</v>
      </c>
      <c r="G104" s="19">
        <v>24774</v>
      </c>
      <c r="H104" s="19">
        <v>15888</v>
      </c>
      <c r="I104" s="19">
        <v>2820</v>
      </c>
      <c r="J104" s="19"/>
      <c r="K104" s="19"/>
      <c r="L104" s="19"/>
      <c r="M104" s="19"/>
      <c r="N104" s="19"/>
      <c r="O104" s="19"/>
      <c r="P104" s="19"/>
    </row>
    <row r="105" ht="20.05" customHeight="1">
      <c r="E105" s="32"/>
      <c r="F105" s="18">
        <v>825.3200000000001</v>
      </c>
      <c r="G105" s="19">
        <v>28014</v>
      </c>
      <c r="H105" s="19">
        <v>18292</v>
      </c>
      <c r="I105" s="19">
        <v>3550</v>
      </c>
      <c r="J105" s="19"/>
      <c r="K105" s="19"/>
      <c r="L105" s="19"/>
      <c r="M105" s="19"/>
      <c r="N105" s="19"/>
      <c r="O105" s="19"/>
      <c r="P105" s="19"/>
    </row>
    <row r="106" ht="20.05" customHeight="1">
      <c r="E106" s="32"/>
      <c r="F106" s="18">
        <v>800.29</v>
      </c>
      <c r="G106" s="19">
        <v>26037</v>
      </c>
      <c r="H106" s="19">
        <v>19266</v>
      </c>
      <c r="I106" s="19">
        <v>3915</v>
      </c>
      <c r="J106" s="19"/>
      <c r="K106" s="19"/>
      <c r="L106" s="19"/>
      <c r="M106" s="19"/>
      <c r="N106" s="19"/>
      <c r="O106" s="19"/>
      <c r="P106" s="19"/>
    </row>
    <row r="107" ht="20.05" customHeight="1">
      <c r="E107" s="32"/>
      <c r="F107" s="18">
        <v>758.47</v>
      </c>
      <c r="G107" s="19">
        <v>26847</v>
      </c>
      <c r="H107" s="19">
        <v>19030</v>
      </c>
      <c r="I107" s="19">
        <v>3555</v>
      </c>
      <c r="J107" s="19"/>
      <c r="K107" s="19"/>
      <c r="L107" s="19"/>
      <c r="M107" s="19"/>
      <c r="N107" s="19"/>
      <c r="O107" s="19"/>
      <c r="P107" s="19"/>
    </row>
    <row r="108" ht="20.05" customHeight="1">
      <c r="E108" s="32"/>
      <c r="F108" s="18">
        <v>752.89</v>
      </c>
      <c r="G108" s="19">
        <v>25441</v>
      </c>
      <c r="H108" s="19">
        <v>18502</v>
      </c>
      <c r="I108" s="19">
        <v>4025</v>
      </c>
      <c r="J108" s="19"/>
      <c r="K108" s="19"/>
      <c r="L108" s="19"/>
      <c r="M108" s="19"/>
      <c r="N108" s="19"/>
      <c r="O108" s="19"/>
      <c r="P108" s="19"/>
    </row>
    <row r="109" ht="20.05" customHeight="1">
      <c r="E109" s="32"/>
      <c r="F109" s="18">
        <v>677.86</v>
      </c>
      <c r="G109" s="19">
        <v>24298</v>
      </c>
      <c r="H109" s="19">
        <v>18780</v>
      </c>
      <c r="I109" s="19">
        <v>4180</v>
      </c>
      <c r="J109" s="19"/>
      <c r="K109" s="19"/>
      <c r="L109" s="19"/>
      <c r="M109" s="19"/>
      <c r="N109" s="19"/>
      <c r="O109" s="19"/>
      <c r="P109" s="19"/>
    </row>
    <row r="110" ht="20.05" customHeight="1">
      <c r="E110" s="32"/>
      <c r="F110" s="18">
        <v>656.98</v>
      </c>
      <c r="G110" s="19">
        <v>21916</v>
      </c>
      <c r="H110" s="19">
        <v>16265</v>
      </c>
      <c r="I110" s="19">
        <v>3750</v>
      </c>
      <c r="J110" s="19"/>
      <c r="K110" s="19"/>
      <c r="L110" s="19"/>
      <c r="M110" s="19"/>
      <c r="N110" s="19"/>
      <c r="O110" s="19"/>
      <c r="P110" s="19"/>
    </row>
    <row r="111" ht="20.05" customHeight="1">
      <c r="E111" s="32"/>
      <c r="F111" s="18">
        <v>673.09</v>
      </c>
      <c r="G111" s="19">
        <v>22392</v>
      </c>
      <c r="H111" s="19">
        <v>15697</v>
      </c>
      <c r="I111" s="19">
        <v>3790</v>
      </c>
      <c r="J111" s="19"/>
      <c r="K111" s="19"/>
      <c r="L111" s="19"/>
      <c r="M111" s="19"/>
      <c r="N111" s="19"/>
      <c r="O111" s="19"/>
      <c r="P111" s="19"/>
    </row>
    <row r="112" ht="20.05" customHeight="1">
      <c r="E112" s="32"/>
      <c r="F112" s="18">
        <v>662.4</v>
      </c>
      <c r="G112" s="19">
        <v>22868</v>
      </c>
      <c r="H112" s="19">
        <v>16184</v>
      </c>
      <c r="I112" s="19">
        <v>3985</v>
      </c>
      <c r="J112" s="19"/>
      <c r="K112" s="19"/>
      <c r="L112" s="19"/>
      <c r="M112" s="19"/>
      <c r="N112" s="19"/>
      <c r="O112" s="19"/>
      <c r="P112" s="19"/>
    </row>
    <row r="113" ht="20.05" customHeight="1">
      <c r="E113" s="32"/>
      <c r="F113" s="18">
        <v>624.54</v>
      </c>
      <c r="G113" s="19">
        <v>23107</v>
      </c>
      <c r="H113" s="19">
        <v>15148</v>
      </c>
      <c r="I113" s="19">
        <v>3625</v>
      </c>
      <c r="J113" s="19"/>
      <c r="K113" s="19"/>
      <c r="L113" s="19"/>
      <c r="M113" s="19"/>
      <c r="N113" s="19"/>
      <c r="O113" s="19"/>
      <c r="P113" s="19"/>
    </row>
    <row r="114" ht="20.05" customHeight="1">
      <c r="E114" s="33">
        <v>2015</v>
      </c>
      <c r="F114" s="18">
        <v>641.6</v>
      </c>
      <c r="G114" s="19">
        <v>22154</v>
      </c>
      <c r="H114" s="19">
        <v>15155</v>
      </c>
      <c r="I114" s="19">
        <v>3450</v>
      </c>
      <c r="J114" s="17">
        <f>F114/F111-1</f>
        <v>-0.0467842339063127</v>
      </c>
      <c r="K114" s="17">
        <f>G114/G111-1</f>
        <v>-0.0106287959985709</v>
      </c>
      <c r="L114" s="17"/>
      <c r="M114" s="17"/>
      <c r="N114" s="17">
        <f>H114/H111-1</f>
        <v>-0.034528890870867</v>
      </c>
      <c r="O114" s="17"/>
      <c r="P114" s="17"/>
    </row>
    <row r="115" ht="20.05" customHeight="1">
      <c r="E115" s="32"/>
      <c r="F115" s="18">
        <v>634.38</v>
      </c>
      <c r="G115" s="19">
        <v>23488</v>
      </c>
      <c r="H115" s="19">
        <v>14065</v>
      </c>
      <c r="I115" s="19">
        <v>3525</v>
      </c>
      <c r="J115" s="17">
        <f>F115/F112-1</f>
        <v>-0.0423007246376812</v>
      </c>
      <c r="K115" s="17">
        <f>G115/G112-1</f>
        <v>0.0271121217421725</v>
      </c>
      <c r="L115" s="17"/>
      <c r="M115" s="17"/>
      <c r="N115" s="17">
        <f>H115/H112-1</f>
        <v>-0.130931784478497</v>
      </c>
      <c r="O115" s="17"/>
      <c r="P115" s="17"/>
    </row>
    <row r="116" ht="20.05" customHeight="1">
      <c r="E116" s="32"/>
      <c r="F116" s="18">
        <v>607.65</v>
      </c>
      <c r="G116" s="19">
        <v>23154</v>
      </c>
      <c r="H116" s="19">
        <v>12350</v>
      </c>
      <c r="I116" s="19">
        <v>3235</v>
      </c>
      <c r="J116" s="17">
        <f>F116/F113-1</f>
        <v>-0.0270439043135748</v>
      </c>
      <c r="K116" s="17">
        <f>G116/G113-1</f>
        <v>0.00203401566624832</v>
      </c>
      <c r="L116" s="17"/>
      <c r="M116" s="17"/>
      <c r="N116" s="17">
        <f>H116/H113-1</f>
        <v>-0.184710852917877</v>
      </c>
      <c r="O116" s="17"/>
      <c r="P116" s="17"/>
    </row>
    <row r="117" ht="20.05" customHeight="1">
      <c r="E117" s="32"/>
      <c r="F117" s="18">
        <v>591.79</v>
      </c>
      <c r="G117" s="19">
        <v>19390</v>
      </c>
      <c r="H117" s="19">
        <v>13910</v>
      </c>
      <c r="I117" s="19">
        <v>2795</v>
      </c>
      <c r="J117" s="17">
        <f>F117/F114-1</f>
        <v>-0.0776340399002494</v>
      </c>
      <c r="K117" s="17">
        <f>G117/G114-1</f>
        <v>-0.124763022479011</v>
      </c>
      <c r="L117" s="17"/>
      <c r="M117" s="17"/>
      <c r="N117" s="17">
        <f>H117/H114-1</f>
        <v>-0.0821511052457935</v>
      </c>
      <c r="O117" s="17"/>
      <c r="P117" s="17"/>
    </row>
    <row r="118" ht="20.05" customHeight="1">
      <c r="E118" s="32"/>
      <c r="F118" s="18">
        <v>601.4</v>
      </c>
      <c r="G118" s="19">
        <v>23631</v>
      </c>
      <c r="H118" s="19">
        <v>12580</v>
      </c>
      <c r="I118" s="19">
        <v>3120</v>
      </c>
      <c r="J118" s="17">
        <f>F118/F115-1</f>
        <v>-0.0519877675840979</v>
      </c>
      <c r="K118" s="17">
        <f>G118/G115-1</f>
        <v>0.00608821525885559</v>
      </c>
      <c r="L118" s="17"/>
      <c r="M118" s="17"/>
      <c r="N118" s="17">
        <f>H118/H115-1</f>
        <v>-0.105581230003555</v>
      </c>
      <c r="O118" s="17"/>
      <c r="P118" s="17"/>
    </row>
    <row r="119" ht="20.05" customHeight="1">
      <c r="E119" s="32"/>
      <c r="F119" s="18">
        <v>606.4</v>
      </c>
      <c r="G119" s="19">
        <v>21868</v>
      </c>
      <c r="H119" s="19">
        <v>11995</v>
      </c>
      <c r="I119" s="19">
        <v>2710</v>
      </c>
      <c r="J119" s="17">
        <f>F119/F116-1</f>
        <v>-0.00205710524150416</v>
      </c>
      <c r="K119" s="17">
        <f>G119/G116-1</f>
        <v>-0.0555411591949555</v>
      </c>
      <c r="L119" s="17"/>
      <c r="M119" s="17"/>
      <c r="N119" s="17">
        <f>H119/H116-1</f>
        <v>-0.0287449392712551</v>
      </c>
      <c r="O119" s="17"/>
      <c r="P119" s="17"/>
    </row>
    <row r="120" ht="20.05" customHeight="1">
      <c r="E120" s="32"/>
      <c r="F120" s="18">
        <v>575.6799999999999</v>
      </c>
      <c r="G120" s="19">
        <v>19128</v>
      </c>
      <c r="H120" s="19">
        <v>11055</v>
      </c>
      <c r="I120" s="19">
        <v>1960</v>
      </c>
      <c r="J120" s="17">
        <f>F120/F117-1</f>
        <v>-0.0272224944659423</v>
      </c>
      <c r="K120" s="17">
        <f>G120/G117-1</f>
        <v>-0.0135121196493038</v>
      </c>
      <c r="L120" s="17"/>
      <c r="M120" s="17"/>
      <c r="N120" s="17">
        <f>H120/H117-1</f>
        <v>-0.205248023005032</v>
      </c>
      <c r="O120" s="17"/>
      <c r="P120" s="17"/>
    </row>
    <row r="121" ht="20.05" customHeight="1">
      <c r="E121" s="32"/>
      <c r="F121" s="18">
        <v>484.68</v>
      </c>
      <c r="G121" s="19">
        <v>16318</v>
      </c>
      <c r="H121" s="19">
        <v>10045</v>
      </c>
      <c r="I121" s="19">
        <v>1545</v>
      </c>
      <c r="J121" s="17">
        <f>F121/F118-1</f>
        <v>-0.194080478882607</v>
      </c>
      <c r="K121" s="17">
        <f>G121/G118-1</f>
        <v>-0.30946637890906</v>
      </c>
      <c r="L121" s="17"/>
      <c r="M121" s="17"/>
      <c r="N121" s="17">
        <f>H121/H118-1</f>
        <v>-0.201510333863275</v>
      </c>
      <c r="O121" s="17"/>
      <c r="P121" s="17"/>
    </row>
    <row r="122" ht="20.05" customHeight="1">
      <c r="E122" s="32"/>
      <c r="F122" s="18">
        <v>483.49</v>
      </c>
      <c r="G122" s="19">
        <v>17270</v>
      </c>
      <c r="H122" s="19">
        <v>10325</v>
      </c>
      <c r="I122" s="19">
        <v>2185</v>
      </c>
      <c r="J122" s="17">
        <f>F122/F119-1</f>
        <v>-0.202687994722955</v>
      </c>
      <c r="K122" s="17">
        <f>G122/G119-1</f>
        <v>-0.210261569416499</v>
      </c>
      <c r="L122" s="17"/>
      <c r="M122" s="17"/>
      <c r="N122" s="17">
        <f>H122/H119-1</f>
        <v>-0.139224676948729</v>
      </c>
      <c r="O122" s="17"/>
      <c r="P122" s="17"/>
    </row>
    <row r="123" ht="20.05" customHeight="1">
      <c r="E123" s="32"/>
      <c r="F123" s="18">
        <v>530.25</v>
      </c>
      <c r="G123" s="19">
        <v>18962</v>
      </c>
      <c r="H123" s="19">
        <v>10025</v>
      </c>
      <c r="I123" s="19">
        <v>2235</v>
      </c>
      <c r="J123" s="17">
        <f>F123/F120-1</f>
        <v>-0.0789153696498054</v>
      </c>
      <c r="K123" s="17">
        <f>G123/G120-1</f>
        <v>-0.00867837724801338</v>
      </c>
      <c r="L123" s="17"/>
      <c r="M123" s="17"/>
      <c r="N123" s="17">
        <f>H123/H120-1</f>
        <v>-0.09317051108095881</v>
      </c>
      <c r="O123" s="17"/>
      <c r="P123" s="17"/>
    </row>
    <row r="124" ht="20.05" customHeight="1">
      <c r="E124" s="32"/>
      <c r="F124" s="18">
        <v>503.16</v>
      </c>
      <c r="G124" s="19">
        <v>16151</v>
      </c>
      <c r="H124" s="19">
        <v>8855</v>
      </c>
      <c r="I124" s="19">
        <v>1645</v>
      </c>
      <c r="J124" s="17">
        <f>F124/F121-1</f>
        <v>0.0381282495667244</v>
      </c>
      <c r="K124" s="17">
        <f>G124/G121-1</f>
        <v>-0.0102340973158475</v>
      </c>
      <c r="L124" s="17"/>
      <c r="M124" s="17"/>
      <c r="N124" s="17">
        <f>H124/H121-1</f>
        <v>-0.118466898954704</v>
      </c>
      <c r="O124" s="17"/>
      <c r="P124" s="17"/>
    </row>
    <row r="125" ht="20.05" customHeight="1">
      <c r="E125" s="32"/>
      <c r="F125" s="18">
        <v>520.6</v>
      </c>
      <c r="G125" s="19">
        <v>15103</v>
      </c>
      <c r="H125" s="19">
        <v>8815</v>
      </c>
      <c r="I125" s="19">
        <v>1635</v>
      </c>
      <c r="J125" s="17">
        <f>F125/F122-1</f>
        <v>0.0767544313222611</v>
      </c>
      <c r="K125" s="17">
        <f>G125/G122-1</f>
        <v>-0.125477707006369</v>
      </c>
      <c r="L125" s="17"/>
      <c r="M125" s="17"/>
      <c r="N125" s="17">
        <f>H125/H122-1</f>
        <v>-0.146246973365617</v>
      </c>
      <c r="O125" s="17">
        <f>AVERAGE(N101:N125)</f>
        <v>-0.122543018333847</v>
      </c>
      <c r="P125" s="17"/>
    </row>
    <row r="126" ht="20.05" customHeight="1">
      <c r="E126" s="33">
        <v>2016</v>
      </c>
      <c r="F126" s="18">
        <v>531.62</v>
      </c>
      <c r="G126" s="19">
        <v>16270</v>
      </c>
      <c r="H126" s="19">
        <v>8600</v>
      </c>
      <c r="I126" s="19">
        <v>1445</v>
      </c>
      <c r="J126" s="17">
        <f>F126/F123-1</f>
        <v>0.00258368694012258</v>
      </c>
      <c r="K126" s="17">
        <f>G126/G123-1</f>
        <v>-0.141968146819956</v>
      </c>
      <c r="L126" s="17"/>
      <c r="M126" s="17"/>
      <c r="N126" s="17">
        <f>H126/H123-1</f>
        <v>-0.14214463840399</v>
      </c>
      <c r="O126" s="17">
        <f>AVERAGE(N101:N126)</f>
        <v>-0.124050835262319</v>
      </c>
      <c r="P126" s="17"/>
    </row>
    <row r="127" ht="20.05" customHeight="1">
      <c r="E127" s="32"/>
      <c r="F127" s="18">
        <v>595.9</v>
      </c>
      <c r="G127" s="19">
        <v>14150</v>
      </c>
      <c r="H127" s="19">
        <v>8505</v>
      </c>
      <c r="I127" s="19">
        <v>1535</v>
      </c>
      <c r="J127" s="17">
        <f>F127/F124-1</f>
        <v>0.184315128388584</v>
      </c>
      <c r="K127" s="17">
        <f>G127/G124-1</f>
        <v>-0.123893257383444</v>
      </c>
      <c r="L127" s="17"/>
      <c r="M127" s="17"/>
      <c r="N127" s="17">
        <f>H127/H124-1</f>
        <v>-0.0395256916996047</v>
      </c>
      <c r="O127" s="17">
        <f>AVERAGE(N101:N127)</f>
        <v>-0.11801332500784</v>
      </c>
      <c r="P127" s="17"/>
    </row>
    <row r="128" ht="20.05" customHeight="1">
      <c r="E128" s="32"/>
      <c r="F128" s="18">
        <v>633.0700000000001</v>
      </c>
      <c r="G128" s="19">
        <v>17342</v>
      </c>
      <c r="H128" s="19">
        <v>8495</v>
      </c>
      <c r="I128" s="19">
        <v>1750</v>
      </c>
      <c r="J128" s="17">
        <f>F128/F125-1</f>
        <v>0.216039185555129</v>
      </c>
      <c r="K128" s="17">
        <f>G128/G125-1</f>
        <v>0.148248692312786</v>
      </c>
      <c r="L128" s="17"/>
      <c r="M128" s="17"/>
      <c r="N128" s="17">
        <f>H128/H125-1</f>
        <v>-0.0363017583664209</v>
      </c>
      <c r="O128" s="17">
        <f>AVERAGE(N101:N128)</f>
        <v>-0.112565887231745</v>
      </c>
      <c r="P128" s="17"/>
    </row>
    <row r="129" ht="20.05" customHeight="1">
      <c r="E129" s="32"/>
      <c r="F129" s="18">
        <v>680.38</v>
      </c>
      <c r="G129" s="19">
        <v>15341</v>
      </c>
      <c r="H129" s="19">
        <v>9430</v>
      </c>
      <c r="I129" s="19">
        <v>1860</v>
      </c>
      <c r="J129" s="17">
        <f>F129/F126-1</f>
        <v>0.279823934389225</v>
      </c>
      <c r="K129" s="17">
        <f>G129/G126-1</f>
        <v>-0.0570989551321451</v>
      </c>
      <c r="L129" s="17"/>
      <c r="M129" s="17"/>
      <c r="N129" s="17">
        <f>H129/H126-1</f>
        <v>0.0965116279069767</v>
      </c>
      <c r="O129" s="17">
        <f>AVERAGE(N101:N129)</f>
        <v>-0.099498542535575</v>
      </c>
      <c r="P129" s="17"/>
    </row>
    <row r="130" ht="20.05" customHeight="1">
      <c r="E130" s="32"/>
      <c r="F130" s="18">
        <v>644.5599999999999</v>
      </c>
      <c r="G130" s="19">
        <v>13483</v>
      </c>
      <c r="H130" s="19">
        <v>8440</v>
      </c>
      <c r="I130" s="19">
        <v>1655</v>
      </c>
      <c r="J130" s="17">
        <f>F130/F127-1</f>
        <v>0.0816579963081054</v>
      </c>
      <c r="K130" s="17">
        <f>G130/G127-1</f>
        <v>-0.0471378091872792</v>
      </c>
      <c r="L130" s="17"/>
      <c r="M130" s="17"/>
      <c r="N130" s="17">
        <f>H130/H127-1</f>
        <v>-0.00764256319811875</v>
      </c>
      <c r="O130" s="17">
        <f>AVERAGE(N101:N130)</f>
        <v>-0.09409524963337169</v>
      </c>
      <c r="P130" s="17"/>
    </row>
    <row r="131" ht="20.05" customHeight="1">
      <c r="E131" s="32"/>
      <c r="F131" s="18">
        <v>618.45</v>
      </c>
      <c r="G131" s="19">
        <v>14700</v>
      </c>
      <c r="H131" s="19">
        <v>9415</v>
      </c>
      <c r="I131" s="19">
        <v>1820</v>
      </c>
      <c r="J131" s="17">
        <f>F131/F128-1</f>
        <v>-0.0230938126905398</v>
      </c>
      <c r="K131" s="17">
        <f>G131/G128-1</f>
        <v>-0.152346903471341</v>
      </c>
      <c r="L131" s="17"/>
      <c r="M131" s="17"/>
      <c r="N131" s="17">
        <f>H131/H128-1</f>
        <v>0.108298999411418</v>
      </c>
      <c r="O131" s="17">
        <f>AVERAGE(N101:N131)</f>
        <v>-0.0828511246864389</v>
      </c>
      <c r="P131" s="17"/>
    </row>
    <row r="132" ht="20.05" customHeight="1">
      <c r="E132" s="32"/>
      <c r="F132" s="18">
        <v>584.1900000000001</v>
      </c>
      <c r="G132" s="19">
        <v>14500</v>
      </c>
      <c r="H132" s="19">
        <v>10637.5</v>
      </c>
      <c r="I132" s="19">
        <v>2560</v>
      </c>
      <c r="J132" s="17">
        <f>F132/F129-1</f>
        <v>-0.141376877627208</v>
      </c>
      <c r="K132" s="17">
        <f>G132/G129-1</f>
        <v>-0.054820415879017</v>
      </c>
      <c r="L132" s="17"/>
      <c r="M132" s="17"/>
      <c r="N132" s="17">
        <f>H132/H129-1</f>
        <v>0.128048780487805</v>
      </c>
      <c r="O132" s="17">
        <f>AVERAGE(N101:N132)</f>
        <v>-0.0717511296772682</v>
      </c>
      <c r="P132" s="17"/>
    </row>
    <row r="133" ht="20.05" customHeight="1">
      <c r="E133" s="32"/>
      <c r="F133" s="18">
        <v>664.38</v>
      </c>
      <c r="G133" s="19">
        <v>16400</v>
      </c>
      <c r="H133" s="19">
        <v>9777.5</v>
      </c>
      <c r="I133" s="19">
        <v>2640</v>
      </c>
      <c r="J133" s="17">
        <f>F133/F130-1</f>
        <v>0.0307496586818915</v>
      </c>
      <c r="K133" s="17">
        <f>G133/G130-1</f>
        <v>0.21634651042053</v>
      </c>
      <c r="L133" s="17"/>
      <c r="M133" s="17"/>
      <c r="N133" s="17">
        <f>H133/H130-1</f>
        <v>0.158471563981043</v>
      </c>
      <c r="O133" s="17">
        <f>AVERAGE(N101:N133)</f>
        <v>-0.0602399949943526</v>
      </c>
      <c r="P133" s="17"/>
    </row>
    <row r="134" ht="20.05" customHeight="1">
      <c r="E134" s="32"/>
      <c r="F134" s="18">
        <v>692.41</v>
      </c>
      <c r="G134" s="19">
        <v>14825</v>
      </c>
      <c r="H134" s="19">
        <v>10510</v>
      </c>
      <c r="I134" s="19">
        <v>2950</v>
      </c>
      <c r="J134" s="17">
        <f>F134/F131-1</f>
        <v>0.119589295820196</v>
      </c>
      <c r="K134" s="17">
        <f>G134/G131-1</f>
        <v>0.00850340136054422</v>
      </c>
      <c r="L134" s="17"/>
      <c r="M134" s="17"/>
      <c r="N134" s="17">
        <f>H134/H131-1</f>
        <v>0.116303770578864</v>
      </c>
      <c r="O134" s="17">
        <f>AVERAGE(N101:N134)</f>
        <v>-0.0518331490146756</v>
      </c>
      <c r="P134" s="17"/>
    </row>
    <row r="135" ht="20.05" customHeight="1">
      <c r="E135" s="32"/>
      <c r="F135" s="18">
        <v>651.45</v>
      </c>
      <c r="G135" s="19">
        <v>15250</v>
      </c>
      <c r="H135" s="19">
        <v>10417.5</v>
      </c>
      <c r="I135" s="19">
        <v>2720</v>
      </c>
      <c r="J135" s="17">
        <f>F135/F132-1</f>
        <v>0.115133774970472</v>
      </c>
      <c r="K135" s="17">
        <f>G135/G132-1</f>
        <v>0.0517241379310345</v>
      </c>
      <c r="L135" s="17"/>
      <c r="M135" s="17"/>
      <c r="N135" s="17">
        <f>H135/H132-1</f>
        <v>-0.0206815511163337</v>
      </c>
      <c r="O135" s="17">
        <f>AVERAGE(N101:N135)</f>
        <v>-0.0504171672920237</v>
      </c>
      <c r="P135" s="17"/>
    </row>
    <row r="136" ht="20.05" customHeight="1">
      <c r="E136" s="32"/>
      <c r="F136" s="18">
        <v>670</v>
      </c>
      <c r="G136" s="19">
        <v>16550</v>
      </c>
      <c r="H136" s="19">
        <v>11167.5</v>
      </c>
      <c r="I136" s="19">
        <v>3380</v>
      </c>
      <c r="J136" s="17">
        <f>F136/F133-1</f>
        <v>0.008459014419458739</v>
      </c>
      <c r="K136" s="17">
        <f>G136/G133-1</f>
        <v>0.00914634146341463</v>
      </c>
      <c r="L136" s="17"/>
      <c r="M136" s="17"/>
      <c r="N136" s="17">
        <f>H136/H133-1</f>
        <v>0.142163129634365</v>
      </c>
      <c r="O136" s="17">
        <f>AVERAGE(N101:N136)</f>
        <v>-0.0420441109039199</v>
      </c>
      <c r="P136" s="17"/>
    </row>
    <row r="137" ht="20.05" customHeight="1">
      <c r="E137" s="32"/>
      <c r="F137" s="18">
        <v>711.76</v>
      </c>
      <c r="G137" s="19">
        <v>16775</v>
      </c>
      <c r="H137" s="19">
        <v>10057.5</v>
      </c>
      <c r="I137" s="19">
        <v>2820</v>
      </c>
      <c r="J137" s="17">
        <f>F137/F134-1</f>
        <v>0.0279458702214006</v>
      </c>
      <c r="K137" s="17">
        <f>G137/G134-1</f>
        <v>0.131534569983137</v>
      </c>
      <c r="L137" s="17"/>
      <c r="M137" s="17"/>
      <c r="N137" s="17">
        <f>H137/H134-1</f>
        <v>-0.0430542340627973</v>
      </c>
      <c r="O137" s="17">
        <f>AVERAGE(N102:N137)</f>
        <v>-0.0420861993688731</v>
      </c>
      <c r="P137" s="17"/>
    </row>
    <row r="138" ht="20.05" customHeight="1">
      <c r="E138" s="33">
        <v>2017</v>
      </c>
      <c r="F138" s="18">
        <v>729.25</v>
      </c>
      <c r="G138" s="19">
        <v>15775</v>
      </c>
      <c r="H138" s="19">
        <v>9962.5</v>
      </c>
      <c r="I138" s="19">
        <v>2370</v>
      </c>
      <c r="J138" s="17">
        <f>F138/F135-1</f>
        <v>0.11942589607798</v>
      </c>
      <c r="K138" s="17">
        <f>G138/G135-1</f>
        <v>0.0344262295081967</v>
      </c>
      <c r="L138" s="17"/>
      <c r="M138" s="17"/>
      <c r="N138" s="17">
        <f>H138/H135-1</f>
        <v>-0.0436765058795296</v>
      </c>
      <c r="O138" s="17">
        <f>AVERAGE(N103:N138)</f>
        <v>-0.0421498116292993</v>
      </c>
      <c r="P138" s="17"/>
    </row>
    <row r="139" ht="20.05" customHeight="1">
      <c r="E139" s="32"/>
      <c r="F139" s="18">
        <v>652.75</v>
      </c>
      <c r="G139" s="19">
        <v>14950</v>
      </c>
      <c r="H139" s="19">
        <v>10965</v>
      </c>
      <c r="I139" s="19">
        <v>2550</v>
      </c>
      <c r="J139" s="17">
        <f>F139/F136-1</f>
        <v>-0.0257462686567164</v>
      </c>
      <c r="K139" s="17">
        <f>G139/G136-1</f>
        <v>-0.0966767371601208</v>
      </c>
      <c r="L139" s="17"/>
      <c r="M139" s="17"/>
      <c r="N139" s="17">
        <f>H139/H136-1</f>
        <v>-0.0181329751511081</v>
      </c>
      <c r="O139" s="17">
        <f>AVERAGE(N104:N139)</f>
        <v>-0.0412260871493689</v>
      </c>
      <c r="P139" s="17"/>
    </row>
    <row r="140" ht="20.05" customHeight="1">
      <c r="E140" s="32"/>
      <c r="F140" s="18">
        <v>640.5</v>
      </c>
      <c r="G140" s="19">
        <v>14900</v>
      </c>
      <c r="H140" s="19">
        <v>10022.5</v>
      </c>
      <c r="I140" s="19">
        <v>2390</v>
      </c>
      <c r="J140" s="17">
        <f>F140/F137-1</f>
        <v>-0.100118017309205</v>
      </c>
      <c r="K140" s="17">
        <f>G140/G137-1</f>
        <v>-0.11177347242921</v>
      </c>
      <c r="L140" s="17"/>
      <c r="M140" s="17"/>
      <c r="N140" s="17">
        <f>H140/H137-1</f>
        <v>-0.00347999005717127</v>
      </c>
      <c r="O140" s="17">
        <f>AVERAGE(N105:N140)</f>
        <v>-0.0398280835533616</v>
      </c>
      <c r="P140" s="17"/>
    </row>
    <row r="141" ht="20.05" customHeight="1">
      <c r="E141" s="32"/>
      <c r="F141" s="18">
        <v>620.75</v>
      </c>
      <c r="G141" s="19">
        <v>14400</v>
      </c>
      <c r="H141" s="19">
        <v>9450</v>
      </c>
      <c r="I141" s="19">
        <v>2220</v>
      </c>
      <c r="J141" s="17">
        <f>F141/F138-1</f>
        <v>-0.148782996229002</v>
      </c>
      <c r="K141" s="17">
        <f>G141/G138-1</f>
        <v>-0.0871632329635499</v>
      </c>
      <c r="L141" s="17"/>
      <c r="M141" s="17"/>
      <c r="N141" s="17">
        <f>H141/H138-1</f>
        <v>-0.0514429109159348</v>
      </c>
      <c r="O141" s="17">
        <f>AVERAGE(N106:N141)</f>
        <v>-0.0402428988163106</v>
      </c>
      <c r="P141" s="17"/>
    </row>
    <row r="142" ht="20.05" customHeight="1">
      <c r="E142" s="32"/>
      <c r="F142" s="18">
        <v>642.25</v>
      </c>
      <c r="G142" s="19">
        <v>14300</v>
      </c>
      <c r="H142" s="19">
        <v>8952.5</v>
      </c>
      <c r="I142" s="19">
        <v>1905</v>
      </c>
      <c r="J142" s="17">
        <f>F142/F139-1</f>
        <v>-0.0160857908847185</v>
      </c>
      <c r="K142" s="17">
        <f>G142/G139-1</f>
        <v>-0.0434782608695652</v>
      </c>
      <c r="L142" s="17"/>
      <c r="M142" s="17"/>
      <c r="N142" s="17">
        <f>H142/H139-1</f>
        <v>-0.183538531691746</v>
      </c>
      <c r="O142" s="17">
        <f>AVERAGE(N107:N142)</f>
        <v>-0.0451841275361532</v>
      </c>
      <c r="P142" s="17"/>
    </row>
    <row r="143" ht="20.05" customHeight="1">
      <c r="E143" s="32"/>
      <c r="F143" s="18">
        <v>604.5</v>
      </c>
      <c r="G143" s="19">
        <v>14700</v>
      </c>
      <c r="H143" s="19">
        <v>9372.5</v>
      </c>
      <c r="I143" s="19">
        <v>1850</v>
      </c>
      <c r="J143" s="17">
        <f>F143/F140-1</f>
        <v>-0.0562060889929742</v>
      </c>
      <c r="K143" s="17">
        <f>G143/G140-1</f>
        <v>-0.0134228187919463</v>
      </c>
      <c r="L143" s="17"/>
      <c r="M143" s="17"/>
      <c r="N143" s="17">
        <f>H143/H140-1</f>
        <v>-0.06485407832377151</v>
      </c>
      <c r="O143" s="17">
        <f>AVERAGE(N108:N143)</f>
        <v>-0.0458397925624072</v>
      </c>
      <c r="P143" s="17"/>
    </row>
    <row r="144" ht="20.05" customHeight="1">
      <c r="E144" s="32"/>
      <c r="F144" s="18">
        <v>624.5</v>
      </c>
      <c r="G144" s="19">
        <v>14725</v>
      </c>
      <c r="H144" s="19">
        <v>10222.5</v>
      </c>
      <c r="I144" s="19">
        <v>2420</v>
      </c>
      <c r="J144" s="17">
        <f>F144/F141-1</f>
        <v>0.00604107933950866</v>
      </c>
      <c r="K144" s="17">
        <f>G144/G141-1</f>
        <v>0.0225694444444444</v>
      </c>
      <c r="L144" s="17"/>
      <c r="M144" s="17"/>
      <c r="N144" s="17">
        <f>H144/H141-1</f>
        <v>0.08174603174603171</v>
      </c>
      <c r="O144" s="17">
        <f>AVERAGE(N109:N144)</f>
        <v>-0.0417241208105221</v>
      </c>
      <c r="P144" s="17"/>
    </row>
    <row r="145" ht="20.05" customHeight="1">
      <c r="E145" s="32"/>
      <c r="F145" s="18">
        <v>627.75</v>
      </c>
      <c r="G145" s="19">
        <v>14750</v>
      </c>
      <c r="H145" s="19">
        <v>11780</v>
      </c>
      <c r="I145" s="19">
        <v>2970</v>
      </c>
      <c r="J145" s="17">
        <f>F145/F142-1</f>
        <v>-0.0225768781627092</v>
      </c>
      <c r="K145" s="17">
        <f>G145/G142-1</f>
        <v>0.0314685314685315</v>
      </c>
      <c r="L145" s="17"/>
      <c r="M145" s="17"/>
      <c r="N145" s="17">
        <f>H145/H142-1</f>
        <v>0.315833566043005</v>
      </c>
      <c r="O145" s="17">
        <f>AVERAGE(N110:N145)</f>
        <v>-0.0305504430963493</v>
      </c>
      <c r="P145" s="17"/>
    </row>
    <row r="146" ht="20.05" customHeight="1">
      <c r="E146" s="32"/>
      <c r="F146" s="18">
        <v>644.25</v>
      </c>
      <c r="G146" s="19">
        <v>14875</v>
      </c>
      <c r="H146" s="19">
        <v>10525</v>
      </c>
      <c r="I146" s="19">
        <v>2590</v>
      </c>
      <c r="J146" s="17">
        <f>F146/F143-1</f>
        <v>0.06575682382134</v>
      </c>
      <c r="K146" s="17">
        <f>G146/G143-1</f>
        <v>0.0119047619047619</v>
      </c>
      <c r="L146" s="17"/>
      <c r="M146" s="17"/>
      <c r="N146" s="17">
        <f>H146/H143-1</f>
        <v>0.122966124299813</v>
      </c>
      <c r="O146" s="17">
        <f>AVERAGE(N111:N146)</f>
        <v>-0.0258984259025262</v>
      </c>
      <c r="P146" s="17"/>
    </row>
    <row r="147" ht="20.05" customHeight="1">
      <c r="E147" s="32"/>
      <c r="F147" s="18">
        <v>659.75</v>
      </c>
      <c r="G147" s="19">
        <v>14575</v>
      </c>
      <c r="H147" s="19">
        <v>12422.5</v>
      </c>
      <c r="I147" s="19">
        <v>2940</v>
      </c>
      <c r="J147" s="17">
        <f>F147/F144-1</f>
        <v>0.0564451561248999</v>
      </c>
      <c r="K147" s="17">
        <f>G147/G144-1</f>
        <v>-0.0101867572156197</v>
      </c>
      <c r="L147" s="17"/>
      <c r="M147" s="17"/>
      <c r="N147" s="17">
        <f>H147/H144-1</f>
        <v>0.215211543164588</v>
      </c>
      <c r="O147" s="17">
        <f>AVERAGE(N112:N147)</f>
        <v>-0.0188069562240817</v>
      </c>
      <c r="P147" s="17"/>
    </row>
    <row r="148" ht="20.05" customHeight="1">
      <c r="E148" s="32"/>
      <c r="F148" s="18">
        <v>610.25</v>
      </c>
      <c r="G148" s="19">
        <v>13850</v>
      </c>
      <c r="H148" s="19">
        <v>11142.5</v>
      </c>
      <c r="I148" s="19">
        <v>2760</v>
      </c>
      <c r="J148" s="17">
        <f>F148/F145-1</f>
        <v>-0.0278773397052967</v>
      </c>
      <c r="K148" s="17">
        <f>G148/G145-1</f>
        <v>-0.0610169491525424</v>
      </c>
      <c r="L148" s="17"/>
      <c r="M148" s="17"/>
      <c r="N148" s="17">
        <f>H148/H145-1</f>
        <v>-0.0541171477079796</v>
      </c>
      <c r="O148" s="17">
        <f>AVERAGE(N113:N148)</f>
        <v>-0.0198158188379073</v>
      </c>
      <c r="P148" s="17"/>
    </row>
    <row r="149" ht="20.05" customHeight="1">
      <c r="E149" s="32"/>
      <c r="F149" s="18">
        <v>604</v>
      </c>
      <c r="G149" s="19">
        <v>13150</v>
      </c>
      <c r="H149" s="19">
        <v>12652.5</v>
      </c>
      <c r="I149" s="19">
        <v>2890</v>
      </c>
      <c r="J149" s="17">
        <f>F149/F146-1</f>
        <v>-0.0624757469926271</v>
      </c>
      <c r="K149" s="17">
        <f>G149/G146-1</f>
        <v>-0.115966386554622</v>
      </c>
      <c r="L149" s="17"/>
      <c r="M149" s="17"/>
      <c r="N149" s="17">
        <f>H149/H146-1</f>
        <v>0.202137767220903</v>
      </c>
      <c r="O149" s="17">
        <f>AVERAGE(N114:N149)</f>
        <v>-0.0136504414473848</v>
      </c>
      <c r="P149" s="17"/>
    </row>
    <row r="150" ht="20.05" customHeight="1">
      <c r="E150" s="33">
        <v>2018</v>
      </c>
      <c r="F150" s="18">
        <v>638.75</v>
      </c>
      <c r="G150" s="19">
        <v>13000</v>
      </c>
      <c r="H150" s="19">
        <v>13487.5</v>
      </c>
      <c r="I150" s="19">
        <v>3750</v>
      </c>
      <c r="J150" s="17">
        <f>F150/F147-1</f>
        <v>-0.0318302387267905</v>
      </c>
      <c r="K150" s="17">
        <f>G150/G147-1</f>
        <v>-0.108061749571184</v>
      </c>
      <c r="L150" s="17"/>
      <c r="M150" s="17"/>
      <c r="N150" s="17">
        <f>H150/H147-1</f>
        <v>0.0857315355202254</v>
      </c>
      <c r="O150" s="17">
        <f>AVERAGE(N115:N150)</f>
        <v>-0.0103098740476323</v>
      </c>
      <c r="P150" s="17"/>
    </row>
    <row r="151" ht="20.05" customHeight="1">
      <c r="E151" s="32"/>
      <c r="F151" s="18">
        <v>655.5</v>
      </c>
      <c r="G151" s="19">
        <v>14425</v>
      </c>
      <c r="H151" s="19">
        <v>13737.5</v>
      </c>
      <c r="I151" s="19">
        <v>3390</v>
      </c>
      <c r="J151" s="17">
        <f>F151/F148-1</f>
        <v>0.0741499385497747</v>
      </c>
      <c r="K151" s="17">
        <f>G151/G148-1</f>
        <v>0.0415162454873646</v>
      </c>
      <c r="L151" s="17"/>
      <c r="M151" s="17"/>
      <c r="N151" s="17">
        <f>H151/H148-1</f>
        <v>0.232892079874355</v>
      </c>
      <c r="O151" s="17">
        <f>AVERAGE(N116:N151)</f>
        <v>-0.000203655593386384</v>
      </c>
      <c r="P151" s="17"/>
    </row>
    <row r="152" ht="20.05" customHeight="1">
      <c r="E152" s="32"/>
      <c r="F152" s="18">
        <v>616.25</v>
      </c>
      <c r="G152" s="19">
        <v>13475</v>
      </c>
      <c r="H152" s="19">
        <v>13380</v>
      </c>
      <c r="I152" s="19">
        <v>2790</v>
      </c>
      <c r="J152" s="17">
        <f>F152/F149-1</f>
        <v>0.0202814569536424</v>
      </c>
      <c r="K152" s="17">
        <f>G152/G149-1</f>
        <v>0.0247148288973384</v>
      </c>
      <c r="L152" s="17"/>
      <c r="M152" s="17"/>
      <c r="N152" s="17">
        <f>H152/H149-1</f>
        <v>0.0574985180794309</v>
      </c>
      <c r="O152" s="17">
        <f>AVERAGE(N117:N152)</f>
        <v>0.00652438248987217</v>
      </c>
      <c r="P152" s="17"/>
    </row>
    <row r="153" ht="20.05" customHeight="1">
      <c r="E153" s="32"/>
      <c r="F153" s="18">
        <v>592.75</v>
      </c>
      <c r="G153" s="19">
        <v>12775</v>
      </c>
      <c r="H153" s="19">
        <v>13675</v>
      </c>
      <c r="I153" s="19">
        <v>3160</v>
      </c>
      <c r="J153" s="17">
        <f>F153/F150-1</f>
        <v>-0.0720156555772994</v>
      </c>
      <c r="K153" s="17">
        <f>G153/G150-1</f>
        <v>-0.0173076923076923</v>
      </c>
      <c r="L153" s="17"/>
      <c r="M153" s="17"/>
      <c r="N153" s="17">
        <f>H153/H150-1</f>
        <v>0.0139017608897127</v>
      </c>
      <c r="O153" s="17">
        <f>AVERAGE(N118:N153)</f>
        <v>0.0091925176603029</v>
      </c>
      <c r="P153" s="17"/>
    </row>
    <row r="154" ht="20.05" customHeight="1">
      <c r="E154" s="32"/>
      <c r="F154" s="18">
        <v>610.25</v>
      </c>
      <c r="G154" s="19">
        <v>12550</v>
      </c>
      <c r="H154" s="19">
        <v>15292.5</v>
      </c>
      <c r="I154" s="19">
        <v>3860</v>
      </c>
      <c r="J154" s="17">
        <f>F154/F151-1</f>
        <v>-0.0690312738367658</v>
      </c>
      <c r="K154" s="17">
        <f>G154/G151-1</f>
        <v>-0.12998266897747</v>
      </c>
      <c r="L154" s="17"/>
      <c r="M154" s="17"/>
      <c r="N154" s="17">
        <f>H154/H151-1</f>
        <v>0.11319381255687</v>
      </c>
      <c r="O154" s="17">
        <f>AVERAGE(N119:N154)</f>
        <v>0.0152696021758703</v>
      </c>
      <c r="P154" s="17"/>
    </row>
    <row r="155" ht="20.05" customHeight="1">
      <c r="E155" s="32"/>
      <c r="F155" s="18">
        <v>569.25</v>
      </c>
      <c r="G155" s="19">
        <v>11200</v>
      </c>
      <c r="H155" s="19">
        <v>14950</v>
      </c>
      <c r="I155" s="19">
        <v>4040</v>
      </c>
      <c r="J155" s="17">
        <f>F155/F152-1</f>
        <v>-0.0762677484787018</v>
      </c>
      <c r="K155" s="17">
        <f>G155/G152-1</f>
        <v>-0.168831168831169</v>
      </c>
      <c r="L155" s="17"/>
      <c r="M155" s="17"/>
      <c r="N155" s="17">
        <f>H155/H152-1</f>
        <v>0.117339312406577</v>
      </c>
      <c r="O155" s="17">
        <f>AVERAGE(N120:N155)</f>
        <v>0.01932749805581</v>
      </c>
      <c r="P155" s="17"/>
    </row>
    <row r="156" ht="20.05" customHeight="1">
      <c r="E156" s="32"/>
      <c r="F156" s="18">
        <v>545</v>
      </c>
      <c r="G156" s="19">
        <v>10875</v>
      </c>
      <c r="H156" s="19">
        <v>14075</v>
      </c>
      <c r="I156" s="19">
        <v>4370</v>
      </c>
      <c r="J156" s="17">
        <f>F156/F153-1</f>
        <v>-0.08055672711935891</v>
      </c>
      <c r="K156" s="17">
        <f>G156/G153-1</f>
        <v>-0.148727984344423</v>
      </c>
      <c r="L156" s="17"/>
      <c r="M156" s="17"/>
      <c r="N156" s="17">
        <f>H156/H153-1</f>
        <v>0.0292504570383912</v>
      </c>
      <c r="O156" s="17">
        <f>AVERAGE(N121:N156)</f>
        <v>0.0258413447236829</v>
      </c>
      <c r="P156" s="17"/>
    </row>
    <row r="157" ht="20.05" customHeight="1">
      <c r="E157" s="32"/>
      <c r="F157" s="18">
        <v>534</v>
      </c>
      <c r="G157" s="19">
        <v>13500</v>
      </c>
      <c r="H157" s="19">
        <v>12815</v>
      </c>
      <c r="I157" s="19">
        <v>3800</v>
      </c>
      <c r="J157" s="17">
        <f>F157/F154-1</f>
        <v>-0.124948791478902</v>
      </c>
      <c r="K157" s="17">
        <f>G157/G154-1</f>
        <v>0.0756972111553785</v>
      </c>
      <c r="L157" s="17"/>
      <c r="M157" s="17"/>
      <c r="N157" s="17">
        <f>H157/H154-1</f>
        <v>-0.162007520026157</v>
      </c>
      <c r="O157" s="17">
        <f>AVERAGE(N122:N157)</f>
        <v>0.0269386451080473</v>
      </c>
      <c r="P157" s="17"/>
    </row>
    <row r="158" ht="20.05" customHeight="1">
      <c r="E158" s="32"/>
      <c r="F158" s="18">
        <v>524</v>
      </c>
      <c r="G158" s="19">
        <v>12400</v>
      </c>
      <c r="H158" s="19">
        <v>12547.5</v>
      </c>
      <c r="I158" s="19">
        <v>3710</v>
      </c>
      <c r="J158" s="17">
        <f>F158/F155-1</f>
        <v>-0.0794905577514273</v>
      </c>
      <c r="K158" s="17">
        <f>G158/G155-1</f>
        <v>0.107142857142857</v>
      </c>
      <c r="L158" s="17"/>
      <c r="M158" s="17"/>
      <c r="N158" s="17">
        <f>H158/H155-1</f>
        <v>-0.160702341137124</v>
      </c>
      <c r="O158" s="17">
        <f>AVERAGE(N123:N158)</f>
        <v>0.0263420433250363</v>
      </c>
      <c r="P158" s="17"/>
    </row>
    <row r="159" ht="20.05" customHeight="1">
      <c r="E159" s="32"/>
      <c r="F159" s="18">
        <v>535</v>
      </c>
      <c r="G159" s="19">
        <v>12000</v>
      </c>
      <c r="H159" s="19">
        <v>11542.5</v>
      </c>
      <c r="I159" s="19">
        <v>2920</v>
      </c>
      <c r="J159" s="17">
        <f>F159/F156-1</f>
        <v>-0.018348623853211</v>
      </c>
      <c r="K159" s="17">
        <f>G159/G156-1</f>
        <v>0.103448275862069</v>
      </c>
      <c r="L159" s="50">
        <f>AVERAGE(J124:J159)</f>
        <v>0.009623642871590621</v>
      </c>
      <c r="M159" s="50">
        <f>AVERAGE(K124:K159)</f>
        <v>-0.0224216981117257</v>
      </c>
      <c r="N159" s="17">
        <f>H159/H156-1</f>
        <v>-0.179928952042629</v>
      </c>
      <c r="O159" s="17">
        <f>AVERAGE(N124:N159)</f>
        <v>0.0239320866316566</v>
      </c>
      <c r="P159" s="17"/>
    </row>
    <row r="160" ht="20.05" customHeight="1">
      <c r="E160" s="32"/>
      <c r="F160" s="18">
        <v>487</v>
      </c>
      <c r="G160" s="19">
        <v>10975</v>
      </c>
      <c r="H160" s="19">
        <v>11097.5</v>
      </c>
      <c r="I160" s="19">
        <v>3030</v>
      </c>
      <c r="J160" s="17">
        <f>F160/F157-1</f>
        <v>-0.0880149812734082</v>
      </c>
      <c r="K160" s="17">
        <f>G160/G157-1</f>
        <v>-0.187037037037037</v>
      </c>
      <c r="L160" s="50">
        <f>AVERAGE(J125:J160)</f>
        <v>0.00611966423714249</v>
      </c>
      <c r="M160" s="50">
        <f>AVERAGE(K125:K160)</f>
        <v>-0.0273328908817587</v>
      </c>
      <c r="N160" s="17">
        <f>H160/H157-1</f>
        <v>-0.134022629730784</v>
      </c>
      <c r="O160" s="17">
        <f>AVERAGE(N125:N160)</f>
        <v>0.0234999829989877</v>
      </c>
      <c r="P160" s="17"/>
    </row>
    <row r="161" ht="20.05" customHeight="1">
      <c r="E161" s="32"/>
      <c r="F161" s="18">
        <v>500</v>
      </c>
      <c r="G161" s="19">
        <v>11825</v>
      </c>
      <c r="H161" s="19">
        <v>10677.5</v>
      </c>
      <c r="I161" s="19">
        <v>3260</v>
      </c>
      <c r="J161" s="17">
        <f>F161/F158-1</f>
        <v>-0.0458015267175573</v>
      </c>
      <c r="K161" s="17">
        <f>G161/G158-1</f>
        <v>-0.0463709677419355</v>
      </c>
      <c r="L161" s="50">
        <f>AVERAGE(J126:J161)</f>
        <v>0.00271533206936976</v>
      </c>
      <c r="M161" s="50">
        <f>AVERAGE(K126:K161)</f>
        <v>-0.0251354814577467</v>
      </c>
      <c r="N161" s="17">
        <f>H161/H158-1</f>
        <v>-0.149033672046224</v>
      </c>
      <c r="O161" s="17">
        <f>AVERAGE(N126:N161)</f>
        <v>0.0234225747023042</v>
      </c>
      <c r="P161" s="17"/>
    </row>
    <row r="162" ht="20.05" customHeight="1">
      <c r="E162" s="33">
        <v>2019</v>
      </c>
      <c r="F162" s="18">
        <v>560</v>
      </c>
      <c r="G162" s="19">
        <v>14000</v>
      </c>
      <c r="H162" s="19">
        <v>12467.5</v>
      </c>
      <c r="I162" s="19">
        <v>3850</v>
      </c>
      <c r="J162" s="17">
        <f>F162/F159-1</f>
        <v>0.0467289719626168</v>
      </c>
      <c r="K162" s="17">
        <f>G162/G159-1</f>
        <v>0.166666666666667</v>
      </c>
      <c r="L162" s="50">
        <f>AVERAGE(J127:J162)</f>
        <v>0.00394158998666127</v>
      </c>
      <c r="M162" s="50">
        <f>AVERAGE(K127:K162)</f>
        <v>-0.0165622921942294</v>
      </c>
      <c r="N162" s="17">
        <f>H162/H159-1</f>
        <v>0.0801386181503141</v>
      </c>
      <c r="O162" s="17">
        <f>AVERAGE(N127:N162)</f>
        <v>0.0295971096065904</v>
      </c>
      <c r="P162" s="17"/>
    </row>
    <row r="163" ht="20.05" customHeight="1">
      <c r="E163" s="32"/>
      <c r="F163" s="18">
        <v>520</v>
      </c>
      <c r="G163" s="19">
        <v>12400</v>
      </c>
      <c r="H163" s="19">
        <v>13062.5</v>
      </c>
      <c r="I163" s="19">
        <v>3740</v>
      </c>
      <c r="J163" s="17">
        <f>F163/F160-1</f>
        <v>0.0677618069815195</v>
      </c>
      <c r="K163" s="17">
        <f>G163/G160-1</f>
        <v>0.129840546697039</v>
      </c>
      <c r="L163" s="50">
        <f>AVERAGE(J128:J163)</f>
        <v>0.000703997725353919</v>
      </c>
      <c r="M163" s="50">
        <f>AVERAGE(K128:K163)</f>
        <v>-0.00951413096977153</v>
      </c>
      <c r="N163" s="17">
        <f>H163/H160-1</f>
        <v>0.177066906961027</v>
      </c>
      <c r="O163" s="17">
        <f>AVERAGE(N128:N163)</f>
        <v>0.0356135706804968</v>
      </c>
      <c r="P163" s="17"/>
    </row>
    <row r="164" ht="20.05" customHeight="1">
      <c r="E164" s="32"/>
      <c r="F164" s="18">
        <v>516</v>
      </c>
      <c r="G164" s="19">
        <v>11225</v>
      </c>
      <c r="H164" s="19">
        <v>12995</v>
      </c>
      <c r="I164" s="19">
        <v>3390</v>
      </c>
      <c r="J164" s="17">
        <f>F164/F161-1</f>
        <v>0.032</v>
      </c>
      <c r="K164" s="17">
        <f>G164/G161-1</f>
        <v>-0.0507399577167019</v>
      </c>
      <c r="L164" s="50">
        <f>AVERAGE(J129:J164)</f>
        <v>-0.00440820187339966</v>
      </c>
      <c r="M164" s="50">
        <f>AVERAGE(K129:K164)</f>
        <v>-0.0150415934705906</v>
      </c>
      <c r="N164" s="17">
        <f>H164/H161-1</f>
        <v>0.21704518848045</v>
      </c>
      <c r="O164" s="17">
        <f>AVERAGE(N129:N164)</f>
        <v>0.0426509858706877</v>
      </c>
      <c r="P164" s="17"/>
    </row>
    <row r="165" ht="20.05" customHeight="1">
      <c r="E165" s="32"/>
      <c r="F165" s="18">
        <v>479</v>
      </c>
      <c r="G165" s="19">
        <v>10875</v>
      </c>
      <c r="H165" s="19">
        <v>12235</v>
      </c>
      <c r="I165" s="19">
        <v>3050</v>
      </c>
      <c r="J165" s="17">
        <f>F165/F162-1</f>
        <v>-0.144642857142857</v>
      </c>
      <c r="K165" s="17">
        <f>G165/G162-1</f>
        <v>-0.223214285714286</v>
      </c>
      <c r="L165" s="50">
        <f>AVERAGE(J130:J165)</f>
        <v>-0.0161989460826242</v>
      </c>
      <c r="M165" s="50">
        <f>AVERAGE(K130:K165)</f>
        <v>-0.0196559082089834</v>
      </c>
      <c r="N165" s="17">
        <f>H165/H162-1</f>
        <v>-0.0186484860637658</v>
      </c>
      <c r="O165" s="17">
        <f>AVERAGE(N130:N165)</f>
        <v>0.0394520938159448</v>
      </c>
      <c r="P165" s="17"/>
    </row>
    <row r="166" ht="20.05" customHeight="1">
      <c r="E166" s="32"/>
      <c r="F166" s="18">
        <v>484</v>
      </c>
      <c r="G166" s="19">
        <v>10550</v>
      </c>
      <c r="H166" s="19">
        <v>11990</v>
      </c>
      <c r="I166" s="19">
        <v>2700</v>
      </c>
      <c r="J166" s="17">
        <f>F166/F163-1</f>
        <v>-0.06923076923076921</v>
      </c>
      <c r="K166" s="17">
        <f>G166/G163-1</f>
        <v>-0.149193548387097</v>
      </c>
      <c r="L166" s="50">
        <f>AVERAGE(J131:J166)</f>
        <v>-0.0203903006809262</v>
      </c>
      <c r="M166" s="50">
        <f>AVERAGE(K131:K166)</f>
        <v>-0.0224907898534228</v>
      </c>
      <c r="N166" s="17">
        <f>H166/H163-1</f>
        <v>-0.0821052631578947</v>
      </c>
      <c r="O166" s="17">
        <f>AVERAGE(N131:N166)</f>
        <v>0.0373836854837289</v>
      </c>
      <c r="P166" s="17"/>
    </row>
    <row r="167" ht="20.05" customHeight="1">
      <c r="E167" s="32"/>
      <c r="F167" s="18">
        <v>480</v>
      </c>
      <c r="G167" s="19">
        <v>10400</v>
      </c>
      <c r="H167" s="19">
        <v>12675</v>
      </c>
      <c r="I167" s="19">
        <v>3120</v>
      </c>
      <c r="J167" s="17">
        <f>F167/F164-1</f>
        <v>-0.0697674418604651</v>
      </c>
      <c r="K167" s="17">
        <f>G167/G164-1</f>
        <v>-0.07349665924276171</v>
      </c>
      <c r="L167" s="50">
        <f>AVERAGE(J132:J167)</f>
        <v>-0.0216867903800908</v>
      </c>
      <c r="M167" s="50">
        <f>AVERAGE(K132:K167)</f>
        <v>-0.0203005052915178</v>
      </c>
      <c r="N167" s="17">
        <f>H167/H164-1</f>
        <v>-0.0246248557137361</v>
      </c>
      <c r="O167" s="17">
        <f>AVERAGE(N132:N167)</f>
        <v>0.0336913561746968</v>
      </c>
      <c r="P167" s="17"/>
    </row>
    <row r="168" ht="20.05" customHeight="1">
      <c r="E168" s="32"/>
      <c r="F168" s="18">
        <v>482</v>
      </c>
      <c r="G168" s="19">
        <v>9975</v>
      </c>
      <c r="H168" s="19">
        <v>14552.5</v>
      </c>
      <c r="I168" s="19">
        <v>3030</v>
      </c>
      <c r="J168" s="17">
        <f>F168/F165-1</f>
        <v>0.00626304801670146</v>
      </c>
      <c r="K168" s="17">
        <f>G168/G165-1</f>
        <v>-0.0827586206896552</v>
      </c>
      <c r="L168" s="50">
        <f>AVERAGE(J133:J168)</f>
        <v>-0.0175856813344267</v>
      </c>
      <c r="M168" s="50">
        <f>AVERAGE(K133:K168)</f>
        <v>-0.0210765665362578</v>
      </c>
      <c r="N168" s="17">
        <f>H168/H165-1</f>
        <v>0.189415610952186</v>
      </c>
      <c r="O168" s="17">
        <f>AVERAGE(N133:N168)</f>
        <v>0.0353959903542629</v>
      </c>
      <c r="P168" s="17"/>
    </row>
    <row r="169" ht="20.05" customHeight="1">
      <c r="E169" s="32"/>
      <c r="F169" s="18">
        <v>530</v>
      </c>
      <c r="G169" s="19">
        <v>10500</v>
      </c>
      <c r="H169" s="19">
        <v>17900</v>
      </c>
      <c r="I169" s="19">
        <v>3530</v>
      </c>
      <c r="J169" s="17">
        <f>F169/F166-1</f>
        <v>0.0950413223140496</v>
      </c>
      <c r="K169" s="17">
        <f>G169/G166-1</f>
        <v>-0.004739336492891</v>
      </c>
      <c r="L169" s="50">
        <f>AVERAGE(J134:J169)</f>
        <v>-0.015799801789089</v>
      </c>
      <c r="M169" s="50">
        <f>AVERAGE(K134:K169)</f>
        <v>-0.0272178400616306</v>
      </c>
      <c r="N169" s="17">
        <f>H169/H166-1</f>
        <v>0.492910758965805</v>
      </c>
      <c r="O169" s="17">
        <f>AVERAGE(N134:N169)</f>
        <v>0.0446859679927285</v>
      </c>
      <c r="P169" s="17"/>
    </row>
    <row r="170" ht="20.05" customHeight="1">
      <c r="E170" s="32"/>
      <c r="F170" s="18">
        <v>540</v>
      </c>
      <c r="G170" s="19">
        <v>10775</v>
      </c>
      <c r="H170" s="19">
        <v>17110</v>
      </c>
      <c r="I170" s="19">
        <v>3510</v>
      </c>
      <c r="J170" s="17">
        <f>F170/F167-1</f>
        <v>0.125</v>
      </c>
      <c r="K170" s="17">
        <f>G170/G167-1</f>
        <v>0.0360576923076923</v>
      </c>
      <c r="L170" s="50">
        <f>AVERAGE(J135:J170)</f>
        <v>-0.0156495044507611</v>
      </c>
      <c r="M170" s="50">
        <f>AVERAGE(K135:K170)</f>
        <v>-0.0264524430908765</v>
      </c>
      <c r="N170" s="17">
        <f>H170/H167-1</f>
        <v>0.349901380670611</v>
      </c>
      <c r="O170" s="17">
        <f>AVERAGE(N135:N170)</f>
        <v>0.0511747904952771</v>
      </c>
      <c r="P170" s="17"/>
    </row>
    <row r="171" ht="20.05" customHeight="1">
      <c r="E171" s="32"/>
      <c r="F171" s="18">
        <v>584</v>
      </c>
      <c r="G171" s="51">
        <v>11425</v>
      </c>
      <c r="H171" s="19">
        <v>16690</v>
      </c>
      <c r="I171" s="19">
        <v>3710</v>
      </c>
      <c r="J171" s="17">
        <f>F171/F168-1</f>
        <v>0.211618257261411</v>
      </c>
      <c r="K171" s="17">
        <f>G171/G168-1</f>
        <v>0.145363408521303</v>
      </c>
      <c r="L171" s="50">
        <f>AVERAGE(J136:J171)</f>
        <v>-0.0129693799426794</v>
      </c>
      <c r="M171" s="50">
        <f>AVERAGE(K136:K171)</f>
        <v>-0.0238513522411468</v>
      </c>
      <c r="N171" s="17">
        <f>H171/H168-1</f>
        <v>0.146881979041402</v>
      </c>
      <c r="O171" s="17">
        <f>AVERAGE(N136:N171)</f>
        <v>0.0558293329996586</v>
      </c>
      <c r="P171" s="17"/>
    </row>
    <row r="172" ht="20.05" customHeight="1">
      <c r="E172" s="32"/>
      <c r="F172" s="18">
        <v>656</v>
      </c>
      <c r="G172" s="51">
        <v>12600</v>
      </c>
      <c r="H172" s="19">
        <v>13667.5</v>
      </c>
      <c r="I172" s="52">
        <v>3000</v>
      </c>
      <c r="J172" s="17">
        <f>F172/F169-1</f>
        <v>0.237735849056604</v>
      </c>
      <c r="K172" s="17">
        <f>G172/G169-1</f>
        <v>0.2</v>
      </c>
      <c r="L172" s="50">
        <f>AVERAGE(J137:J172)</f>
        <v>-0.0066005789805365</v>
      </c>
      <c r="M172" s="50">
        <f>AVERAGE(K137:K172)</f>
        <v>-0.0185498617262417</v>
      </c>
      <c r="N172" s="17">
        <f>H172/H169-1</f>
        <v>-0.23645251396648</v>
      </c>
      <c r="O172" s="17">
        <f>AVERAGE(N137:N172)</f>
        <v>0.045312231788524</v>
      </c>
      <c r="P172" s="17"/>
    </row>
    <row r="173" ht="20.05" customHeight="1">
      <c r="E173" s="32"/>
      <c r="F173" s="18">
        <v>753</v>
      </c>
      <c r="G173" s="51">
        <v>14575</v>
      </c>
      <c r="H173" s="19">
        <v>14052.5</v>
      </c>
      <c r="I173" s="52">
        <v>3640</v>
      </c>
      <c r="J173" s="17">
        <f>F173/F170-1</f>
        <v>0.394444444444444</v>
      </c>
      <c r="K173" s="17">
        <f>G173/G170-1</f>
        <v>0.352668213457077</v>
      </c>
      <c r="L173" s="50">
        <f>AVERAGE(J138:J173)</f>
        <v>0.0035799369701036</v>
      </c>
      <c r="M173" s="50">
        <f>AVERAGE(K138:K173)</f>
        <v>-0.0124072605186322</v>
      </c>
      <c r="N173" s="17">
        <f>H173/H170-1</f>
        <v>-0.178696668614845</v>
      </c>
      <c r="O173" s="17">
        <f>AVERAGE(N138:N173)</f>
        <v>0.0415443863843005</v>
      </c>
      <c r="P173" s="17"/>
    </row>
    <row r="174" ht="20.05" customHeight="1">
      <c r="E174" s="33">
        <v>2020</v>
      </c>
      <c r="F174" s="18">
        <v>645</v>
      </c>
      <c r="G174" s="51">
        <v>11875</v>
      </c>
      <c r="H174" s="19">
        <v>12777.5</v>
      </c>
      <c r="I174" s="52">
        <v>3160</v>
      </c>
      <c r="J174" s="17">
        <f>F174/F171-1</f>
        <v>0.104452054794521</v>
      </c>
      <c r="K174" s="17">
        <f>G174/G171-1</f>
        <v>0.0393873085339168</v>
      </c>
      <c r="L174" s="50">
        <f>AVERAGE(J139:J174)</f>
        <v>0.00316399693445196</v>
      </c>
      <c r="M174" s="50">
        <f>AVERAGE(K139:K174)</f>
        <v>-0.0122694527679178</v>
      </c>
      <c r="N174" s="17">
        <f>H174/H171-1</f>
        <v>-0.234421809466747</v>
      </c>
      <c r="O174" s="17">
        <f>AVERAGE(N139:N174)</f>
        <v>0.0362459057291</v>
      </c>
      <c r="P174" s="17"/>
    </row>
    <row r="175" ht="20.05" customHeight="1">
      <c r="E175" s="32"/>
      <c r="F175" s="18">
        <v>558</v>
      </c>
      <c r="G175" s="51">
        <v>9800</v>
      </c>
      <c r="H175" s="19">
        <v>12220</v>
      </c>
      <c r="I175" s="52">
        <v>2450</v>
      </c>
      <c r="J175" s="17">
        <f>F175/F172-1</f>
        <v>-0.149390243902439</v>
      </c>
      <c r="K175" s="17">
        <f>G175/G172-1</f>
        <v>-0.222222222222222</v>
      </c>
      <c r="L175" s="50">
        <f>AVERAGE(J140:J175)</f>
        <v>-0.000270557933484783</v>
      </c>
      <c r="M175" s="50">
        <f>AVERAGE(K140:K175)</f>
        <v>-0.0157568273529761</v>
      </c>
      <c r="N175" s="17">
        <f>H175/H172-1</f>
        <v>-0.105908176330712</v>
      </c>
      <c r="O175" s="17">
        <f>AVERAGE(N140:N175)</f>
        <v>0.0338077056963332</v>
      </c>
      <c r="P175" s="17"/>
    </row>
    <row r="176" ht="20.05" customHeight="1">
      <c r="E176" s="32"/>
      <c r="F176" s="18">
        <v>591</v>
      </c>
      <c r="G176" s="51">
        <v>5400</v>
      </c>
      <c r="H176" s="19">
        <v>11470</v>
      </c>
      <c r="I176" s="52">
        <v>2160</v>
      </c>
      <c r="J176" s="17">
        <f>F176/F173-1</f>
        <v>-0.215139442231076</v>
      </c>
      <c r="K176" s="17">
        <f>G176/G173-1</f>
        <v>-0.629502572898799</v>
      </c>
      <c r="L176" s="50">
        <f>AVERAGE(J141:J176)</f>
        <v>-0.00346559751464787</v>
      </c>
      <c r="M176" s="50">
        <f>AVERAGE(K141:K176)</f>
        <v>-0.0301381912549092</v>
      </c>
      <c r="N176" s="17">
        <f>H176/H173-1</f>
        <v>-0.183775128980608</v>
      </c>
      <c r="O176" s="17">
        <f>AVERAGE(N141:N176)</f>
        <v>0.0287995073929044</v>
      </c>
      <c r="P176" s="17"/>
    </row>
    <row r="177" ht="20.05" customHeight="1">
      <c r="E177" s="32"/>
      <c r="F177" s="18">
        <v>488</v>
      </c>
      <c r="G177" s="51">
        <v>6100</v>
      </c>
      <c r="H177" s="19">
        <v>12132.5</v>
      </c>
      <c r="I177" s="52">
        <v>2570</v>
      </c>
      <c r="J177" s="17">
        <f>F177/F174-1</f>
        <v>-0.243410852713178</v>
      </c>
      <c r="K177" s="17">
        <f>G177/G174-1</f>
        <v>-0.486315789473684</v>
      </c>
      <c r="L177" s="50">
        <f>AVERAGE(J142:J177)</f>
        <v>-0.00609414908365276</v>
      </c>
      <c r="M177" s="50">
        <f>AVERAGE(K142:K177)</f>
        <v>-0.0412257622690796</v>
      </c>
      <c r="N177" s="17">
        <f>H177/H174-1</f>
        <v>-0.0504793582469184</v>
      </c>
      <c r="O177" s="17">
        <f>AVERAGE(N142:N177)</f>
        <v>0.0288262727448216</v>
      </c>
      <c r="P177" s="17"/>
    </row>
    <row r="178" ht="20.05" customHeight="1">
      <c r="E178" s="32"/>
      <c r="F178" s="18">
        <v>546</v>
      </c>
      <c r="G178" s="51">
        <v>7400</v>
      </c>
      <c r="H178" s="19">
        <v>12375</v>
      </c>
      <c r="I178" s="52">
        <v>2780</v>
      </c>
      <c r="J178" s="17">
        <f>F178/F175-1</f>
        <v>-0.021505376344086</v>
      </c>
      <c r="K178" s="17">
        <f>G178/G175-1</f>
        <v>-0.244897959183673</v>
      </c>
      <c r="L178" s="50">
        <f>AVERAGE(J143:J178)</f>
        <v>-0.00624469312419074</v>
      </c>
      <c r="M178" s="50">
        <f>AVERAGE(K143:K178)</f>
        <v>-0.0468207538889159</v>
      </c>
      <c r="N178" s="17">
        <f>H178/H175-1</f>
        <v>0.012684124386252</v>
      </c>
      <c r="O178" s="17">
        <f>AVERAGE(N143:N178)</f>
        <v>0.0342769020803215</v>
      </c>
      <c r="P178" s="17"/>
    </row>
    <row r="179" ht="20.05" customHeight="1">
      <c r="E179" s="32"/>
      <c r="F179" s="18">
        <v>555</v>
      </c>
      <c r="G179" s="51">
        <v>8325</v>
      </c>
      <c r="H179" s="19">
        <v>12797.5</v>
      </c>
      <c r="I179" s="52">
        <v>2800</v>
      </c>
      <c r="J179" s="17">
        <f>F179/F176-1</f>
        <v>-0.0609137055837563</v>
      </c>
      <c r="K179" s="17">
        <f>G179/G176-1</f>
        <v>0.541666666666667</v>
      </c>
      <c r="L179" s="50">
        <f>AVERAGE(J144:J179)</f>
        <v>-0.00637546025171247</v>
      </c>
      <c r="M179" s="50">
        <f>AVERAGE(K144:K179)</f>
        <v>-0.0314016015150655</v>
      </c>
      <c r="N179" s="17">
        <f>H179/H176-1</f>
        <v>0.115736704446382</v>
      </c>
      <c r="O179" s="17">
        <f>AVERAGE(N144:N179)</f>
        <v>0.0392933127128258</v>
      </c>
      <c r="P179" s="17"/>
    </row>
    <row r="180" ht="20.05" customHeight="1">
      <c r="E180" s="32"/>
      <c r="F180" s="18">
        <v>655</v>
      </c>
      <c r="G180" s="19">
        <v>10133.80957</v>
      </c>
      <c r="H180" s="19">
        <v>13762.5</v>
      </c>
      <c r="I180" s="52">
        <v>3420</v>
      </c>
      <c r="J180" s="17">
        <f>F180/F177-1</f>
        <v>0.342213114754098</v>
      </c>
      <c r="K180" s="17">
        <f>G180/G177-1</f>
        <v>0.661280257377049</v>
      </c>
      <c r="L180" s="50">
        <f>AVERAGE(J145:J180)</f>
        <v>0.00296265184313724</v>
      </c>
      <c r="M180" s="50">
        <f>AVERAGE(K145:K180)</f>
        <v>-0.0136596344891598</v>
      </c>
      <c r="N180" s="17">
        <f>H180/H177-1</f>
        <v>0.13434988666804</v>
      </c>
      <c r="O180" s="17">
        <f>AVERAGE(N145:N180)</f>
        <v>0.0407545309051038</v>
      </c>
      <c r="P180" s="17"/>
    </row>
    <row r="181" ht="20.05" customHeight="1">
      <c r="E181" s="32"/>
      <c r="F181" s="18">
        <v>682</v>
      </c>
      <c r="G181" s="19">
        <v>10133.80957</v>
      </c>
      <c r="H181" s="19">
        <v>15327.5</v>
      </c>
      <c r="I181" s="52">
        <v>3790</v>
      </c>
      <c r="J181" s="17">
        <f>F181/F178-1</f>
        <v>0.249084249084249</v>
      </c>
      <c r="K181" s="17">
        <f>G181/G178-1</f>
        <v>0.369433725675676</v>
      </c>
      <c r="L181" s="50">
        <f>AVERAGE(J146:J181)</f>
        <v>0.0105087942666639</v>
      </c>
      <c r="M181" s="50">
        <f>AVERAGE(K146:K181)</f>
        <v>-0.00427171242785026</v>
      </c>
      <c r="N181" s="17">
        <f>H181/H178-1</f>
        <v>0.238585858585859</v>
      </c>
      <c r="O181" s="17">
        <f>AVERAGE(N146:N181)</f>
        <v>0.0386087612535164</v>
      </c>
      <c r="P181" s="17"/>
    </row>
    <row r="182" ht="20.05" customHeight="1">
      <c r="E182" s="32"/>
      <c r="F182" s="18">
        <v>683</v>
      </c>
      <c r="G182" s="19">
        <v>10550</v>
      </c>
      <c r="H182" s="19">
        <v>14497.5</v>
      </c>
      <c r="I182" s="52">
        <v>3560</v>
      </c>
      <c r="J182" s="17">
        <f>F182/F179-1</f>
        <v>0.230630630630631</v>
      </c>
      <c r="K182" s="17">
        <f>G182/G179-1</f>
        <v>0.267267267267267</v>
      </c>
      <c r="L182" s="50">
        <f>AVERAGE(J147:J182)</f>
        <v>0.0150886222335886</v>
      </c>
      <c r="M182" s="50">
        <f>AVERAGE(K147:K182)</f>
        <v>0.002821690498886</v>
      </c>
      <c r="N182" s="17">
        <f>H182/H179-1</f>
        <v>0.132838445008791</v>
      </c>
      <c r="O182" s="17">
        <f>AVERAGE(N147:N182)</f>
        <v>0.0388829923843213</v>
      </c>
      <c r="P182" s="17"/>
    </row>
    <row r="183" ht="20.05" customHeight="1">
      <c r="E183" s="32"/>
      <c r="F183" s="18">
        <v>782</v>
      </c>
      <c r="G183" s="19">
        <v>10875</v>
      </c>
      <c r="H183" s="19">
        <v>15210</v>
      </c>
      <c r="I183" s="19">
        <v>4050</v>
      </c>
      <c r="J183" s="17">
        <f>F183/F180-1</f>
        <v>0.193893129770992</v>
      </c>
      <c r="K183" s="17">
        <f>G183/G180-1</f>
        <v>0.0731403550540569</v>
      </c>
      <c r="L183" s="50">
        <f>AVERAGE(J148:J183)</f>
        <v>0.0189066215015356</v>
      </c>
      <c r="M183" s="50">
        <f>AVERAGE(K148:K183)</f>
        <v>0.00513633250637701</v>
      </c>
      <c r="N183" s="17">
        <f>H183/H180-1</f>
        <v>0.105177111716621</v>
      </c>
      <c r="O183" s="17">
        <f>AVERAGE(N148:N183)</f>
        <v>0.0358264803996556</v>
      </c>
      <c r="P183" s="17"/>
    </row>
    <row r="184" ht="20.05" customHeight="1">
      <c r="E184" s="32"/>
      <c r="F184" s="18">
        <v>846</v>
      </c>
      <c r="G184" s="19">
        <v>12325</v>
      </c>
      <c r="H184" s="19">
        <v>16052.5</v>
      </c>
      <c r="I184" s="19">
        <v>4610</v>
      </c>
      <c r="J184" s="17">
        <f>F184/F181-1</f>
        <v>0.240469208211144</v>
      </c>
      <c r="K184" s="17">
        <f>G184/G181-1</f>
        <v>0.216225735727931</v>
      </c>
      <c r="L184" s="50">
        <f>AVERAGE(J149:J184)</f>
        <v>0.0263606922769923</v>
      </c>
      <c r="M184" s="50">
        <f>AVERAGE(K149:K184)</f>
        <v>0.0128375181975013</v>
      </c>
      <c r="N184" s="17">
        <f>H184/H181-1</f>
        <v>0.0473006034904583</v>
      </c>
      <c r="O184" s="17">
        <f>AVERAGE(N149:N184)</f>
        <v>0.0386436401551677</v>
      </c>
      <c r="P184" s="17"/>
    </row>
    <row r="185" ht="20.05" customHeight="1">
      <c r="E185" s="32"/>
      <c r="F185" s="18">
        <v>968</v>
      </c>
      <c r="G185" s="19">
        <v>11500</v>
      </c>
      <c r="H185" s="19">
        <v>17572.5</v>
      </c>
      <c r="I185" s="19">
        <v>5075</v>
      </c>
      <c r="J185" s="17">
        <f>F185/F182-1</f>
        <v>0.417276720351391</v>
      </c>
      <c r="K185" s="17">
        <f>G185/G182-1</f>
        <v>0.0900473933649289</v>
      </c>
      <c r="L185" s="50">
        <f>AVERAGE(J150:J185)</f>
        <v>0.039687149703215</v>
      </c>
      <c r="M185" s="50">
        <f>AVERAGE(K150:K185)</f>
        <v>0.0185601231952666</v>
      </c>
      <c r="N185" s="17">
        <f>H185/H182-1</f>
        <v>0.212105535437144</v>
      </c>
      <c r="O185" s="50">
        <f>AVERAGE(N150:N185)</f>
        <v>0.0389205226056189</v>
      </c>
      <c r="P185" s="17"/>
    </row>
    <row r="186" ht="20.05" customHeight="1">
      <c r="E186" s="33">
        <v>2021</v>
      </c>
      <c r="F186" s="18">
        <v>988</v>
      </c>
      <c r="G186" s="19">
        <v>12975</v>
      </c>
      <c r="H186" s="19">
        <v>17587</v>
      </c>
      <c r="I186" s="19">
        <v>5700</v>
      </c>
      <c r="J186" s="23"/>
      <c r="K186" s="17">
        <f>G186/G183-1</f>
        <v>0.193103448275862</v>
      </c>
      <c r="L186" s="19"/>
      <c r="M186" s="19"/>
      <c r="N186" s="19"/>
      <c r="O186" s="19"/>
      <c r="P186" s="19"/>
    </row>
  </sheetData>
  <mergeCells count="2">
    <mergeCell ref="B2:D2"/>
    <mergeCell ref="E100:P100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