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<sst xmlns="http://schemas.openxmlformats.org/spreadsheetml/2006/main" uniqueCount="54">
  <si>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</si>
  <si>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</si>
  <si>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</si>
  <si>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</si>
  <si>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</si>
  <si>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</si>
  <si>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</si>
  <si>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</si>
  <si>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</si>
  <si>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</si>
  <si>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</si>
  <si>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</si>
  <si>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</si>
  <si>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</si>
  <si>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</si>
  <si>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</si>
  <si>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</si>
  <si>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</si>
  <si>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</si>
  <si>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</si>
  <si>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</si>
  <si>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</si>
  <si>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</si>
  <si>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</si>
  <si>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</si>
  <si>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</si>
  <si>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</si>
  <si>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</si>
  <si>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</si>
  <si>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</si>
  <si>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</si>
  <si>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</si>
  <si>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</si>
  <si>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</si>
  <si>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</si>
  <si>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</si>
  <si>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</si>
  <si>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</si>
  <si>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</si>
  <si>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</si>
  <si>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</si>
  <si>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</si>
  <si>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 xml:space="preserve">Sales growth </t>
  </si>
  <si>
    <t>Cashflow costs</t>
  </si>
  <si>
    <t xml:space="preserve">Receipts </t>
  </si>
  <si>
    <t xml:space="preserve">Operating </t>
  </si>
  <si>
    <t xml:space="preserve">Investment </t>
  </si>
  <si>
    <t xml:space="preserve">Free cashflow </t>
  </si>
  <si>
    <t>Capital</t>
  </si>
  <si>
    <t>Cash</t>
  </si>
  <si>
    <t>Assets</t>
  </si>
  <si>
    <t>Net cash</t>
  </si>
  <si>
    <t>Share Price</t>
  </si>
  <si>
    <t>INAF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</si>
</sst>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1079197</xdr:colOff>
      <xdr:row>1</xdr:row>
      <xdr:rowOff>263192</xdr:rowOff>
    </xdr:from>
    <xdr:to>
      <xdr:col>14</xdr:col>
      <xdr:colOff>45118</xdr:colOff>
      <xdr:row>47</xdr:row>
      <xdr:rowOff>47253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803597" y="813102"/>
          <a:ext cx="8922722" cy="115969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23438" style="1" customWidth="1"/>
    <col min="2" max="2" width="18.5781" style="1" customWidth="1"/>
    <col min="3" max="6" width="8.82812" style="1" customWidth="1"/>
    <col min="7" max="16384" width="16.3516" style="1" customWidth="1"/>
  </cols>
  <sheetData>
    <row r="1" ht="43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AVERAGE('Sales'!G27:G30)</f>
        <v>0.556916638902615</v>
      </c>
      <c r="D4" s="8"/>
      <c r="E4" s="8"/>
      <c r="F4" s="9">
        <f>AVERAGE(C5:F5)</f>
        <v>0.3625</v>
      </c>
    </row>
    <row r="5" ht="20.05" customHeight="1">
      <c r="B5" t="s" s="10">
        <v>4</v>
      </c>
      <c r="C5" s="11">
        <v>1.6</v>
      </c>
      <c r="D5" s="12">
        <v>-0.55</v>
      </c>
      <c r="E5" s="12">
        <v>0.25</v>
      </c>
      <c r="F5" s="12">
        <v>0.15</v>
      </c>
    </row>
    <row r="6" ht="20.05" customHeight="1">
      <c r="B6" t="s" s="10">
        <v>5</v>
      </c>
      <c r="C6" s="13">
        <f>'Sales'!C30*(1+C5)</f>
        <v>1686.1</v>
      </c>
      <c r="D6" s="14">
        <f>C6*(1+D5)</f>
        <v>758.745</v>
      </c>
      <c r="E6" s="14">
        <f>D6*(1+E5)</f>
        <v>948.43125</v>
      </c>
      <c r="F6" s="14">
        <f>E6*(1+F5)</f>
        <v>1090.6959375</v>
      </c>
    </row>
    <row r="7" ht="20.05" customHeight="1">
      <c r="B7" t="s" s="10">
        <v>6</v>
      </c>
      <c r="C7" s="15">
        <f>AVERAGE('Sales'!H29)</f>
        <v>-0.9842470069313169</v>
      </c>
      <c r="D7" s="16">
        <f>C7</f>
        <v>-0.9842470069313169</v>
      </c>
      <c r="E7" s="16">
        <f>D7</f>
        <v>-0.9842470069313169</v>
      </c>
      <c r="F7" s="16">
        <f>E7</f>
        <v>-0.9842470069313169</v>
      </c>
    </row>
    <row r="8" ht="20.05" customHeight="1">
      <c r="B8" t="s" s="10">
        <v>7</v>
      </c>
      <c r="C8" s="13">
        <f>C7*C6</f>
        <v>-1659.538878386890</v>
      </c>
      <c r="D8" s="14">
        <f>D7*D6</f>
        <v>-746.792495274102</v>
      </c>
      <c r="E8" s="14">
        <f>E7*E6</f>
        <v>-933.490619092628</v>
      </c>
      <c r="F8" s="14">
        <f>F7*F6</f>
        <v>-1073.514211956520</v>
      </c>
    </row>
    <row r="9" ht="20.05" customHeight="1">
      <c r="B9" t="s" s="10">
        <v>8</v>
      </c>
      <c r="C9" s="13">
        <f>C6+C8</f>
        <v>26.561121613110</v>
      </c>
      <c r="D9" s="14">
        <f>D6+D8</f>
        <v>11.952504725898</v>
      </c>
      <c r="E9" s="14">
        <f>E6+E8</f>
        <v>14.940630907372</v>
      </c>
      <c r="F9" s="14">
        <f>F6+F8</f>
        <v>17.181725543480</v>
      </c>
    </row>
    <row r="10" ht="20.05" customHeight="1">
      <c r="B10" t="s" s="10">
        <v>9</v>
      </c>
      <c r="C10" s="13">
        <f>AVERAGE('Cashflow'!E27:E30)</f>
        <v>-10.85</v>
      </c>
      <c r="D10" s="14">
        <f>C10</f>
        <v>-10.85</v>
      </c>
      <c r="E10" s="14">
        <f>D10</f>
        <v>-10.85</v>
      </c>
      <c r="F10" s="14">
        <f>E10</f>
        <v>-10.85</v>
      </c>
    </row>
    <row r="11" ht="20.05" customHeight="1">
      <c r="B11" t="s" s="10">
        <v>10</v>
      </c>
      <c r="C11" s="13">
        <f>C12+C13+C15</f>
        <v>-15.711121613110</v>
      </c>
      <c r="D11" s="14">
        <f>D12+D13+D15</f>
        <v>-1.102504725898</v>
      </c>
      <c r="E11" s="14">
        <f>E12+E13+E15</f>
        <v>-4.090630907372</v>
      </c>
      <c r="F11" s="14">
        <f>F12+F13+F15</f>
        <v>-6.331725543480</v>
      </c>
    </row>
    <row r="12" ht="20.05" customHeight="1">
      <c r="B12" t="s" s="10">
        <v>11</v>
      </c>
      <c r="C12" s="13">
        <f>-('Balance sheet'!G26)/20</f>
        <v>-95.25</v>
      </c>
      <c r="D12" s="14">
        <f>-C26/20</f>
        <v>-90.4875</v>
      </c>
      <c r="E12" s="14">
        <f>-D26/20</f>
        <v>-85.96312500000001</v>
      </c>
      <c r="F12" s="14">
        <f>-E26/20</f>
        <v>-81.66496875</v>
      </c>
    </row>
    <row r="13" ht="20.05" customHeight="1">
      <c r="B13" t="s" s="10">
        <v>12</v>
      </c>
      <c r="C13" s="13">
        <f>IF(C21&gt;0,-C21*0.3,0)</f>
        <v>-6.078336483933</v>
      </c>
      <c r="D13" s="14">
        <f>IF(D21&gt;0,-D21*0.3,0)</f>
        <v>-1.6957514177694</v>
      </c>
      <c r="E13" s="14">
        <f>IF(E21&gt;0,-E21*0.3,0)</f>
        <v>-2.5921892722116</v>
      </c>
      <c r="F13" s="14">
        <f>IF(F21&gt;0,-F21*0.3,0)</f>
        <v>-3.264517663044</v>
      </c>
    </row>
    <row r="14" ht="20.05" customHeight="1">
      <c r="B14" t="s" s="10">
        <v>13</v>
      </c>
      <c r="C14" s="13">
        <f>C9+C10+C12+C13</f>
        <v>-85.61721487082301</v>
      </c>
      <c r="D14" s="14">
        <f>D9+D10+D12+D13</f>
        <v>-91.0807466918714</v>
      </c>
      <c r="E14" s="14">
        <f>E9+E10+E12+E13</f>
        <v>-84.4646833648396</v>
      </c>
      <c r="F14" s="14">
        <f>F9+F10+F12+F13</f>
        <v>-78.597760869564</v>
      </c>
    </row>
    <row r="15" ht="20.05" customHeight="1">
      <c r="B15" t="s" s="10">
        <v>14</v>
      </c>
      <c r="C15" s="13">
        <f>-MIN(0,C14)</f>
        <v>85.61721487082301</v>
      </c>
      <c r="D15" s="14">
        <f>-MIN(C27,D14)</f>
        <v>91.0807466918714</v>
      </c>
      <c r="E15" s="14">
        <f>-MIN(D27,E14)</f>
        <v>84.4646833648396</v>
      </c>
      <c r="F15" s="14">
        <f>-MIN(E27,F14)</f>
        <v>78.597760869564</v>
      </c>
    </row>
    <row r="16" ht="20.05" customHeight="1">
      <c r="B16" t="s" s="10">
        <v>15</v>
      </c>
      <c r="C16" s="13">
        <f>'Balance sheet'!C26</f>
        <v>350</v>
      </c>
      <c r="D16" s="14">
        <f>C18</f>
        <v>350</v>
      </c>
      <c r="E16" s="14">
        <f>D18</f>
        <v>350</v>
      </c>
      <c r="F16" s="14">
        <f>E18</f>
        <v>350</v>
      </c>
    </row>
    <row r="17" ht="20.05" customHeight="1">
      <c r="B17" t="s" s="10">
        <v>16</v>
      </c>
      <c r="C17" s="13">
        <f>C9+C10+C11</f>
        <v>0</v>
      </c>
      <c r="D17" s="14">
        <f>D9+D10+D11</f>
        <v>0</v>
      </c>
      <c r="E17" s="14">
        <f>E9+E10+E11</f>
        <v>0</v>
      </c>
      <c r="F17" s="14">
        <f>F9+F10+F11</f>
        <v>0</v>
      </c>
    </row>
    <row r="18" ht="20.05" customHeight="1">
      <c r="B18" t="s" s="10">
        <v>17</v>
      </c>
      <c r="C18" s="13">
        <f>C16+C17</f>
        <v>350</v>
      </c>
      <c r="D18" s="14">
        <f>D16+D17</f>
        <v>350</v>
      </c>
      <c r="E18" s="14">
        <f>E16+E17</f>
        <v>350</v>
      </c>
      <c r="F18" s="14">
        <f>F16+F17</f>
        <v>350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3">
        <f>-AVERAGE('Sales'!E30)</f>
        <v>-6.3</v>
      </c>
      <c r="D20" s="14">
        <f>C20</f>
        <v>-6.3</v>
      </c>
      <c r="E20" s="14">
        <f>D20</f>
        <v>-6.3</v>
      </c>
      <c r="F20" s="14">
        <f>E20</f>
        <v>-6.3</v>
      </c>
    </row>
    <row r="21" ht="20.05" customHeight="1">
      <c r="B21" t="s" s="10">
        <v>20</v>
      </c>
      <c r="C21" s="13">
        <f>C6+C8+C20</f>
        <v>20.261121613110</v>
      </c>
      <c r="D21" s="14">
        <f>D6+D8+D20</f>
        <v>5.652504725898</v>
      </c>
      <c r="E21" s="14">
        <f>E6+E8+E20</f>
        <v>8.640630907372</v>
      </c>
      <c r="F21" s="14">
        <f>F6+F8+F20</f>
        <v>10.881725543480</v>
      </c>
    </row>
    <row r="22" ht="20.05" customHeight="1">
      <c r="B22" t="s" s="17">
        <v>21</v>
      </c>
      <c r="C22" s="18"/>
      <c r="D22" s="19"/>
      <c r="E22" s="19"/>
      <c r="F22" s="19"/>
    </row>
    <row r="23" ht="20.05" customHeight="1">
      <c r="B23" t="s" s="10">
        <v>22</v>
      </c>
      <c r="C23" s="13">
        <f>'Balance sheet'!E26+'Balance sheet'!F26-C10</f>
        <v>2311.85</v>
      </c>
      <c r="D23" s="14">
        <f>C23-D10</f>
        <v>2322.7</v>
      </c>
      <c r="E23" s="14">
        <f>D23-E10</f>
        <v>2333.55</v>
      </c>
      <c r="F23" s="14">
        <f>E23-F10</f>
        <v>2344.4</v>
      </c>
    </row>
    <row r="24" ht="20.05" customHeight="1">
      <c r="B24" t="s" s="10">
        <v>23</v>
      </c>
      <c r="C24" s="13">
        <f>'Balance sheet'!F26-C20</f>
        <v>319.3</v>
      </c>
      <c r="D24" s="14">
        <f>C24-D20</f>
        <v>325.6</v>
      </c>
      <c r="E24" s="14">
        <f>D24-E20</f>
        <v>331.9</v>
      </c>
      <c r="F24" s="14">
        <f>E24-F20</f>
        <v>338.2</v>
      </c>
    </row>
    <row r="25" ht="20.05" customHeight="1">
      <c r="B25" t="s" s="10">
        <v>24</v>
      </c>
      <c r="C25" s="13">
        <f>C23-C24</f>
        <v>1992.55</v>
      </c>
      <c r="D25" s="14">
        <f>D23-D24</f>
        <v>1997.1</v>
      </c>
      <c r="E25" s="14">
        <f>E23-E24</f>
        <v>2001.65</v>
      </c>
      <c r="F25" s="14">
        <f>F23-F24</f>
        <v>2006.2</v>
      </c>
    </row>
    <row r="26" ht="20.05" customHeight="1">
      <c r="B26" t="s" s="10">
        <v>11</v>
      </c>
      <c r="C26" s="13">
        <f>'Balance sheet'!G26+C12</f>
        <v>1809.75</v>
      </c>
      <c r="D26" s="14">
        <f>C26+D12</f>
        <v>1719.2625</v>
      </c>
      <c r="E26" s="14">
        <f>D26+E12</f>
        <v>1633.299375</v>
      </c>
      <c r="F26" s="14">
        <f>E26+F12</f>
        <v>1551.63440625</v>
      </c>
    </row>
    <row r="27" ht="20.05" customHeight="1">
      <c r="B27" t="s" s="10">
        <v>14</v>
      </c>
      <c r="C27" s="13">
        <f>C15</f>
        <v>85.61721487082301</v>
      </c>
      <c r="D27" s="14">
        <f>C27+D15</f>
        <v>176.697961562694</v>
      </c>
      <c r="E27" s="14">
        <f>D27+E15</f>
        <v>261.162644927534</v>
      </c>
      <c r="F27" s="14">
        <f>E27+F15</f>
        <v>339.760405797098</v>
      </c>
    </row>
    <row r="28" ht="20.05" customHeight="1">
      <c r="B28" t="s" s="10">
        <v>25</v>
      </c>
      <c r="C28" s="13">
        <f>'Balance sheet'!H26+C21+C13</f>
        <v>447.182785129177</v>
      </c>
      <c r="D28" s="14">
        <f>C28+D21+D13</f>
        <v>451.139538437306</v>
      </c>
      <c r="E28" s="14">
        <f>D28+E21+E13</f>
        <v>457.187980072466</v>
      </c>
      <c r="F28" s="14">
        <f>E28+F21+F13</f>
        <v>464.805187952902</v>
      </c>
    </row>
    <row r="29" ht="20.05" customHeight="1">
      <c r="B29" t="s" s="10">
        <v>26</v>
      </c>
      <c r="C29" s="13">
        <f>C26+C27+C28-C18-C25</f>
        <v>0</v>
      </c>
      <c r="D29" s="14">
        <f>D26+D27+D28-D18-D25</f>
        <v>0</v>
      </c>
      <c r="E29" s="14">
        <f>E26+E27+E28-E18-E25</f>
        <v>0</v>
      </c>
      <c r="F29" s="14">
        <f>F26+F27+F28-F18-F25</f>
        <v>0</v>
      </c>
    </row>
    <row r="30" ht="20.05" customHeight="1">
      <c r="B30" t="s" s="10">
        <v>27</v>
      </c>
      <c r="C30" s="13">
        <f>C18-C26-C27</f>
        <v>-1545.367214870820</v>
      </c>
      <c r="D30" s="14">
        <f>D18-D26-D27</f>
        <v>-1545.960461562690</v>
      </c>
      <c r="E30" s="14">
        <f>E18-E26-E27</f>
        <v>-1544.462019927530</v>
      </c>
      <c r="F30" s="14">
        <f>F18-F26-F27</f>
        <v>-1541.3948120471</v>
      </c>
    </row>
    <row r="31" ht="20.05" customHeight="1">
      <c r="B31" t="s" s="17">
        <v>28</v>
      </c>
      <c r="C31" s="13"/>
      <c r="D31" s="14"/>
      <c r="E31" s="14"/>
      <c r="F31" s="14"/>
    </row>
    <row r="32" ht="20.05" customHeight="1">
      <c r="B32" t="s" s="10">
        <v>29</v>
      </c>
      <c r="C32" s="13">
        <f>'Cashflow'!I30-C11</f>
        <v>-425.088878386890</v>
      </c>
      <c r="D32" s="14">
        <f>C32-D11</f>
        <v>-423.986373660992</v>
      </c>
      <c r="E32" s="14">
        <f>D32-E11</f>
        <v>-419.895742753620</v>
      </c>
      <c r="F32" s="14">
        <f>E32-F11</f>
        <v>-413.564017210140</v>
      </c>
    </row>
    <row r="33" ht="20.05" customHeight="1">
      <c r="B33" t="s" s="10">
        <v>30</v>
      </c>
      <c r="C33" s="13"/>
      <c r="D33" s="14"/>
      <c r="E33" s="14"/>
      <c r="F33" s="14">
        <v>7469</v>
      </c>
    </row>
    <row r="34" ht="20.05" customHeight="1">
      <c r="B34" t="s" s="10">
        <v>31</v>
      </c>
      <c r="C34" s="13"/>
      <c r="D34" s="14"/>
      <c r="E34" s="14"/>
      <c r="F34" s="21">
        <f>F33/(F18+F25)</f>
        <v>3.16993464052288</v>
      </c>
    </row>
    <row r="35" ht="20.05" customHeight="1">
      <c r="B35" t="s" s="10">
        <v>32</v>
      </c>
      <c r="C35" s="13"/>
      <c r="D35" s="14"/>
      <c r="E35" s="14"/>
      <c r="F35" s="16">
        <f>-(C13+D13+E13+F13)/F33</f>
        <v>0.0018249825728957</v>
      </c>
    </row>
    <row r="36" ht="20.05" customHeight="1">
      <c r="B36" t="s" s="10">
        <v>3</v>
      </c>
      <c r="C36" s="13"/>
      <c r="D36" s="14"/>
      <c r="E36" s="14"/>
      <c r="F36" s="14">
        <f>SUM(C9:F10)</f>
        <v>27.235982789860</v>
      </c>
    </row>
    <row r="37" ht="20.05" customHeight="1">
      <c r="B37" t="s" s="10">
        <v>33</v>
      </c>
      <c r="C37" s="13"/>
      <c r="D37" s="14"/>
      <c r="E37" s="14"/>
      <c r="F37" s="14">
        <f>'Balance sheet'!E26/F36</f>
        <v>72.9916748493517</v>
      </c>
    </row>
    <row r="38" ht="20.05" customHeight="1">
      <c r="B38" t="s" s="10">
        <v>28</v>
      </c>
      <c r="C38" s="13"/>
      <c r="D38" s="14"/>
      <c r="E38" s="14"/>
      <c r="F38" s="14">
        <f>F33/F36</f>
        <v>274.232806564290</v>
      </c>
    </row>
    <row r="39" ht="20.05" customHeight="1">
      <c r="B39" t="s" s="10">
        <v>34</v>
      </c>
      <c r="C39" s="13"/>
      <c r="D39" s="14"/>
      <c r="E39" s="14"/>
      <c r="F39" s="14">
        <v>50</v>
      </c>
    </row>
    <row r="40" ht="20.05" customHeight="1">
      <c r="B40" t="s" s="10">
        <v>35</v>
      </c>
      <c r="C40" s="13"/>
      <c r="D40" s="14"/>
      <c r="E40" s="14"/>
      <c r="F40" s="14">
        <f>F36*F39</f>
        <v>1361.799139493</v>
      </c>
    </row>
    <row r="41" ht="20.05" customHeight="1">
      <c r="B41" t="s" s="10">
        <v>36</v>
      </c>
      <c r="C41" s="13"/>
      <c r="D41" s="14"/>
      <c r="E41" s="14"/>
      <c r="F41" s="14">
        <f>F33/F43</f>
        <v>3.09917012448133</v>
      </c>
    </row>
    <row r="42" ht="20.05" customHeight="1">
      <c r="B42" t="s" s="10">
        <v>37</v>
      </c>
      <c r="C42" s="13"/>
      <c r="D42" s="14"/>
      <c r="E42" s="14"/>
      <c r="F42" s="14">
        <f>F40/F41</f>
        <v>439.407675214638</v>
      </c>
    </row>
    <row r="43" ht="20.05" customHeight="1">
      <c r="B43" t="s" s="10">
        <v>38</v>
      </c>
      <c r="C43" s="13"/>
      <c r="D43" s="14"/>
      <c r="E43" s="14"/>
      <c r="F43" s="14">
        <f>'Share price'!C98</f>
        <v>2410</v>
      </c>
    </row>
    <row r="44" ht="20.05" customHeight="1">
      <c r="B44" t="s" s="10">
        <v>39</v>
      </c>
      <c r="C44" s="13"/>
      <c r="D44" s="14"/>
      <c r="E44" s="14"/>
      <c r="F44" s="16">
        <f>F42/F43-1</f>
        <v>-0.817673163811354</v>
      </c>
    </row>
    <row r="45" ht="20.05" customHeight="1">
      <c r="B45" t="s" s="10">
        <v>40</v>
      </c>
      <c r="C45" s="13"/>
      <c r="D45" s="14"/>
      <c r="E45" s="14"/>
      <c r="F45" s="16">
        <f>'Sales'!C30/'Sales'!C26-1</f>
        <v>1.14941500116005</v>
      </c>
    </row>
    <row r="46" ht="20.05" customHeight="1">
      <c r="B46" t="s" s="10">
        <v>41</v>
      </c>
      <c r="C46" s="13"/>
      <c r="D46" s="14"/>
      <c r="E46" s="14"/>
      <c r="F46" s="16">
        <f>('Sales'!D23+'Sales'!D30+'Sales'!D24+'Sales'!D25+'Sales'!D26+'Sales'!D27+'Sales'!D28+'Sales'!D29)/('Sales'!C23+'Sales'!C24+'Sales'!C25+'Sales'!C26+'Sales'!C27+'Sales'!C28+'Sales'!C30+'Sales'!C29)-1</f>
        <v>-0.184034445586503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7656" style="22" customWidth="1"/>
    <col min="2" max="2" width="7.33594" style="22" customWidth="1"/>
    <col min="3" max="10" width="10.4844" style="22" customWidth="1"/>
    <col min="11" max="16384" width="16.3516" style="22" customWidth="1"/>
  </cols>
  <sheetData>
    <row r="1" ht="67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20</v>
      </c>
      <c r="G3" t="s" s="4">
        <v>42</v>
      </c>
      <c r="H3" t="s" s="4">
        <v>6</v>
      </c>
      <c r="I3" t="s" s="4">
        <v>43</v>
      </c>
      <c r="J3" t="s" s="4">
        <v>43</v>
      </c>
    </row>
    <row r="4" ht="20.25" customHeight="1">
      <c r="B4" s="23">
        <v>2015</v>
      </c>
      <c r="C4" s="24">
        <v>194.7</v>
      </c>
      <c r="D4" s="25"/>
      <c r="E4" s="25">
        <v>0</v>
      </c>
      <c r="F4" s="25">
        <v>-19.9</v>
      </c>
      <c r="G4" s="26"/>
      <c r="H4" s="26">
        <f>(E4+F4-C4)/C4</f>
        <v>-1.10220852593734</v>
      </c>
      <c r="I4" s="26"/>
      <c r="J4" s="26">
        <f>('Cashflow'!D4-'Cashflow'!C4)/'Cashflow'!C4</f>
        <v>-2.03636363636364</v>
      </c>
    </row>
    <row r="5" ht="20.05" customHeight="1">
      <c r="B5" s="27"/>
      <c r="C5" s="28">
        <v>268</v>
      </c>
      <c r="D5" s="29"/>
      <c r="E5" s="29">
        <v>0</v>
      </c>
      <c r="F5" s="29">
        <v>-3.9</v>
      </c>
      <c r="G5" s="16">
        <f>C5/C4-1</f>
        <v>0.376476630713919</v>
      </c>
      <c r="H5" s="16">
        <f>(E5+F5-C5)/C5</f>
        <v>-1.01455223880597</v>
      </c>
      <c r="I5" s="16"/>
      <c r="J5" s="16">
        <f>('Cashflow'!D5-'Cashflow'!C5)/'Cashflow'!C5</f>
        <v>-1.03004291845494</v>
      </c>
    </row>
    <row r="6" ht="20.05" customHeight="1">
      <c r="B6" s="27"/>
      <c r="C6" s="28">
        <v>332.7</v>
      </c>
      <c r="D6" s="29"/>
      <c r="E6" s="29"/>
      <c r="F6" s="29">
        <v>-8.1</v>
      </c>
      <c r="G6" s="16">
        <f>C6/C5-1</f>
        <v>0.241417910447761</v>
      </c>
      <c r="H6" s="16">
        <f>(E6+F6-C6)/C6</f>
        <v>-1.02434625788999</v>
      </c>
      <c r="I6" s="16"/>
      <c r="J6" s="16">
        <f>('Cashflow'!D6-'Cashflow'!C6)/'Cashflow'!C6</f>
        <v>-1.35375</v>
      </c>
    </row>
    <row r="7" ht="20.05" customHeight="1">
      <c r="B7" s="27"/>
      <c r="C7" s="28">
        <v>826.4</v>
      </c>
      <c r="D7" s="29"/>
      <c r="E7" s="29">
        <v>11.18</v>
      </c>
      <c r="F7" s="29">
        <v>38.4</v>
      </c>
      <c r="G7" s="16">
        <f>C7/C6-1</f>
        <v>1.4839194469492</v>
      </c>
      <c r="H7" s="16">
        <f>(E7+F7-C7)/C7</f>
        <v>-0.940004840271055</v>
      </c>
      <c r="I7" s="16"/>
      <c r="J7" s="16">
        <f>('Cashflow'!D7-'Cashflow'!C7)/'Cashflow'!C7</f>
        <v>-0.6740058910162</v>
      </c>
    </row>
    <row r="8" ht="20.05" customHeight="1">
      <c r="B8" s="30">
        <v>2016</v>
      </c>
      <c r="C8" s="28">
        <v>201.4</v>
      </c>
      <c r="D8" s="29"/>
      <c r="E8" s="29">
        <v>4</v>
      </c>
      <c r="F8" s="29">
        <v>-19.5</v>
      </c>
      <c r="G8" s="16">
        <f>C8/C7-1</f>
        <v>-0.756292352371733</v>
      </c>
      <c r="H8" s="16">
        <f>(E8+F8-C8)/C8</f>
        <v>-1.07696127110228</v>
      </c>
      <c r="I8" s="16"/>
      <c r="J8" s="16">
        <f>('Cashflow'!D8-'Cashflow'!C8)/'Cashflow'!C8</f>
        <v>-3.05</v>
      </c>
    </row>
    <row r="9" ht="20.05" customHeight="1">
      <c r="B9" s="27"/>
      <c r="C9" s="28">
        <v>269.9</v>
      </c>
      <c r="D9" s="29"/>
      <c r="E9" s="29">
        <v>3.1</v>
      </c>
      <c r="F9" s="29">
        <v>-8.300000000000001</v>
      </c>
      <c r="G9" s="16">
        <f>C9/C8-1</f>
        <v>0.340119165839126</v>
      </c>
      <c r="H9" s="16">
        <f>(E9+F9-C9)/C9</f>
        <v>-1.0192663949611</v>
      </c>
      <c r="I9" s="16"/>
      <c r="J9" s="16">
        <f>('Cashflow'!D9-'Cashflow'!C9)/'Cashflow'!C9</f>
        <v>-1.05665024630542</v>
      </c>
    </row>
    <row r="10" ht="20.05" customHeight="1">
      <c r="B10" s="27"/>
      <c r="C10" s="28">
        <v>397.3</v>
      </c>
      <c r="D10" s="29"/>
      <c r="E10" s="29">
        <v>2.65</v>
      </c>
      <c r="F10" s="29">
        <v>-2.6</v>
      </c>
      <c r="G10" s="16">
        <f>C10/C9-1</f>
        <v>0.472026676546869</v>
      </c>
      <c r="H10" s="16">
        <f>(E10+F10-C10)/C10</f>
        <v>-0.9998741505159831</v>
      </c>
      <c r="I10" s="16"/>
      <c r="J10" s="16">
        <f>('Cashflow'!D10-'Cashflow'!C10)/'Cashflow'!C10</f>
        <v>-1.13729903536977</v>
      </c>
    </row>
    <row r="11" ht="20.05" customHeight="1">
      <c r="B11" s="27"/>
      <c r="C11" s="28">
        <v>806.1</v>
      </c>
      <c r="D11" s="29"/>
      <c r="E11" s="29">
        <v>2.46</v>
      </c>
      <c r="F11" s="29">
        <v>13.1</v>
      </c>
      <c r="G11" s="16">
        <f>C11/C10-1</f>
        <v>1.02894538132394</v>
      </c>
      <c r="H11" s="16">
        <f>(E11+F11-C11)/C11</f>
        <v>-0.9806971839722119</v>
      </c>
      <c r="I11" s="16"/>
      <c r="J11" s="16">
        <f>('Cashflow'!D11-'Cashflow'!C11)/'Cashflow'!C11</f>
        <v>-0.824487594390507</v>
      </c>
    </row>
    <row r="12" ht="20.05" customHeight="1">
      <c r="B12" s="30">
        <v>2017</v>
      </c>
      <c r="C12" s="28">
        <v>207.9</v>
      </c>
      <c r="D12" s="29"/>
      <c r="E12" s="29">
        <v>3.99</v>
      </c>
      <c r="F12" s="29">
        <v>-34.8</v>
      </c>
      <c r="G12" s="16">
        <f>C12/C11-1</f>
        <v>-0.742091551916636</v>
      </c>
      <c r="H12" s="16">
        <f>(E12+F12-C12)/C12</f>
        <v>-1.14819624819625</v>
      </c>
      <c r="I12" s="16"/>
      <c r="J12" s="16">
        <f>('Cashflow'!D12-'Cashflow'!C12)/'Cashflow'!C12</f>
        <v>-1.3845</v>
      </c>
    </row>
    <row r="13" ht="20.05" customHeight="1">
      <c r="B13" s="27"/>
      <c r="C13" s="28">
        <v>273.3</v>
      </c>
      <c r="D13" s="29"/>
      <c r="E13" s="29">
        <v>-3.99</v>
      </c>
      <c r="F13" s="29">
        <v>-18.7</v>
      </c>
      <c r="G13" s="16">
        <f>C13/C12-1</f>
        <v>0.314574314574315</v>
      </c>
      <c r="H13" s="16">
        <f>(E13+F13-C13)/C13</f>
        <v>-1.0830223197951</v>
      </c>
      <c r="I13" s="16"/>
      <c r="J13" s="16">
        <f>('Cashflow'!D13-'Cashflow'!C13)/'Cashflow'!C13</f>
        <v>-0.8003636363636361</v>
      </c>
    </row>
    <row r="14" ht="20.05" customHeight="1">
      <c r="B14" s="27"/>
      <c r="C14" s="28">
        <v>295.1</v>
      </c>
      <c r="D14" s="29"/>
      <c r="E14" s="29">
        <v>11.63</v>
      </c>
      <c r="F14" s="29">
        <v>-10.6</v>
      </c>
      <c r="G14" s="16">
        <f>C14/C13-1</f>
        <v>0.079765825100622</v>
      </c>
      <c r="H14" s="16">
        <f>(E14+F14-C14)/C14</f>
        <v>-0.996509657743138</v>
      </c>
      <c r="I14" s="16"/>
      <c r="J14" s="16">
        <f>('Cashflow'!D14-'Cashflow'!C14)/'Cashflow'!C14</f>
        <v>-1.03154121863799</v>
      </c>
    </row>
    <row r="15" ht="20.05" customHeight="1">
      <c r="B15" s="27"/>
      <c r="C15" s="28">
        <v>854.7</v>
      </c>
      <c r="D15" s="29"/>
      <c r="E15" s="29">
        <v>5.05</v>
      </c>
      <c r="F15" s="29">
        <v>17.9</v>
      </c>
      <c r="G15" s="16">
        <f>C15/C14-1</f>
        <v>1.89630633683497</v>
      </c>
      <c r="H15" s="16">
        <f>(E15+F15-C15)/C15</f>
        <v>-0.973148473148473</v>
      </c>
      <c r="I15" s="16"/>
      <c r="J15" s="16">
        <f>('Cashflow'!D15-'Cashflow'!C15)/'Cashflow'!C15</f>
        <v>-0.8041850220264321</v>
      </c>
    </row>
    <row r="16" ht="20.05" customHeight="1">
      <c r="B16" s="30">
        <v>2018</v>
      </c>
      <c r="C16" s="28">
        <v>148.9</v>
      </c>
      <c r="D16" s="29"/>
      <c r="E16" s="29">
        <v>4.04</v>
      </c>
      <c r="F16" s="29">
        <v>-8.4</v>
      </c>
      <c r="G16" s="16">
        <f>C16/C15-1</f>
        <v>-0.8257868257868261</v>
      </c>
      <c r="H16" s="16">
        <f>(E16+F16-C16)/C16</f>
        <v>-1.02928139691068</v>
      </c>
      <c r="I16" s="16">
        <f>AVERAGE(J13:J16)</f>
        <v>-0.878696625676019</v>
      </c>
      <c r="J16" s="16"/>
    </row>
    <row r="17" ht="20.05" customHeight="1">
      <c r="B17" s="27"/>
      <c r="C17" s="28">
        <v>270.3</v>
      </c>
      <c r="D17" s="29"/>
      <c r="E17" s="29">
        <v>5.05</v>
      </c>
      <c r="F17" s="29">
        <v>261.4</v>
      </c>
      <c r="G17" s="16">
        <f>C17/C16-1</f>
        <v>0.815312290127602</v>
      </c>
      <c r="H17" s="12"/>
      <c r="I17" s="16">
        <f>AVERAGE(J14:J17)</f>
        <v>-0.924540325835509</v>
      </c>
      <c r="J17" s="16">
        <f>('Cashflow'!D17-'Cashflow'!C17)/'Cashflow'!C17</f>
        <v>-0.937894736842105</v>
      </c>
    </row>
    <row r="18" ht="20.05" customHeight="1">
      <c r="B18" s="27"/>
      <c r="C18" s="28">
        <v>319.8</v>
      </c>
      <c r="D18" s="29"/>
      <c r="E18" s="29">
        <v>10.91</v>
      </c>
      <c r="F18" s="29">
        <v>-288.09</v>
      </c>
      <c r="G18" s="16">
        <f>C18/C17-1</f>
        <v>0.183129855715871</v>
      </c>
      <c r="H18" s="12"/>
      <c r="I18" s="16">
        <f>AVERAGE(J15:J18)</f>
        <v>-0.918091626939919</v>
      </c>
      <c r="J18" s="16">
        <f>('Cashflow'!D18-'Cashflow'!C18)/'Cashflow'!C18</f>
        <v>-1.01219512195122</v>
      </c>
    </row>
    <row r="19" ht="20.05" customHeight="1">
      <c r="B19" s="27"/>
      <c r="C19" s="28">
        <v>853.9</v>
      </c>
      <c r="D19" s="29"/>
      <c r="E19" s="29">
        <v>0.17</v>
      </c>
      <c r="F19" s="29">
        <v>2.39</v>
      </c>
      <c r="G19" s="16">
        <f>C19/C18-1</f>
        <v>1.67010631644778</v>
      </c>
      <c r="H19" s="16">
        <f>(E19+F19-C19)/C19</f>
        <v>-0.9970019908654409</v>
      </c>
      <c r="I19" s="16">
        <f>AVERAGE(J16:J19)</f>
        <v>-0.925407420991503</v>
      </c>
      <c r="J19" s="16">
        <f>('Cashflow'!D19-'Cashflow'!C19)/'Cashflow'!C19</f>
        <v>-0.8261324041811851</v>
      </c>
    </row>
    <row r="20" ht="20.05" customHeight="1">
      <c r="B20" s="30">
        <v>2019</v>
      </c>
      <c r="C20" s="28">
        <v>136.2</v>
      </c>
      <c r="D20" s="29"/>
      <c r="E20" s="29">
        <v>4.84</v>
      </c>
      <c r="F20" s="29">
        <v>-21.7</v>
      </c>
      <c r="G20" s="16">
        <f>C20/C19-1</f>
        <v>-0.840496545262911</v>
      </c>
      <c r="H20" s="16">
        <f>(E20+F20-C20)/C20</f>
        <v>-1.12378854625551</v>
      </c>
      <c r="I20" s="16">
        <f>AVERAGE(J17:J20)</f>
        <v>-1.07161031026918</v>
      </c>
      <c r="J20" s="16">
        <f>('Cashflow'!D20-'Cashflow'!C20)/'Cashflow'!C20</f>
        <v>-1.51021897810219</v>
      </c>
    </row>
    <row r="21" ht="20.05" customHeight="1">
      <c r="B21" s="27"/>
      <c r="C21" s="28">
        <v>232.6</v>
      </c>
      <c r="D21" s="29"/>
      <c r="E21" s="29">
        <v>3.65</v>
      </c>
      <c r="F21" s="29">
        <v>-2.6</v>
      </c>
      <c r="G21" s="16">
        <f>C21/C20-1</f>
        <v>0.707782672540382</v>
      </c>
      <c r="H21" s="16">
        <f>(E21+F21-C21)/C21</f>
        <v>-0.99548581255374</v>
      </c>
      <c r="I21" s="16">
        <f>AVERAGE(J18:J21)</f>
        <v>-1.05792700406552</v>
      </c>
      <c r="J21" s="16">
        <f>('Cashflow'!D21-'Cashflow'!C21)/'Cashflow'!C21</f>
        <v>-0.883161512027491</v>
      </c>
    </row>
    <row r="22" ht="20.05" customHeight="1">
      <c r="B22" s="27"/>
      <c r="C22" s="28">
        <v>214.7</v>
      </c>
      <c r="D22" s="29"/>
      <c r="E22" s="29">
        <v>7.61</v>
      </c>
      <c r="F22" s="29">
        <v>-10.5</v>
      </c>
      <c r="G22" s="16">
        <f>C22/C21-1</f>
        <v>-0.07695614789337921</v>
      </c>
      <c r="H22" s="16">
        <f>(E22+F22-C22)/C22</f>
        <v>-1.01346064275734</v>
      </c>
      <c r="I22" s="16">
        <f>AVERAGE(J19:J22)</f>
        <v>-1.18729757841643</v>
      </c>
      <c r="J22" s="16">
        <f>('Cashflow'!D22-'Cashflow'!C22)/'Cashflow'!C22</f>
        <v>-1.52967741935484</v>
      </c>
    </row>
    <row r="23" ht="20.05" customHeight="1">
      <c r="B23" s="27"/>
      <c r="C23" s="28">
        <v>775.5</v>
      </c>
      <c r="D23" s="29">
        <v>914</v>
      </c>
      <c r="E23" s="29">
        <f>0.2+16-SUM(E20:E22)</f>
        <v>0.1</v>
      </c>
      <c r="F23" s="29">
        <v>42.76</v>
      </c>
      <c r="G23" s="16">
        <f>C23/C22-1</f>
        <v>2.61201676758267</v>
      </c>
      <c r="H23" s="16">
        <f>(E23+F23-C23)/C23</f>
        <v>-0.944732430689877</v>
      </c>
      <c r="I23" s="16">
        <f>AVERAGE(J20:J23)</f>
        <v>-1.18189475906127</v>
      </c>
      <c r="J23" s="16">
        <f>('Cashflow'!D23-'Cashflow'!C23)/'Cashflow'!C23</f>
        <v>-0.804521126760563</v>
      </c>
    </row>
    <row r="24" ht="20.05" customHeight="1">
      <c r="B24" s="30">
        <v>2020</v>
      </c>
      <c r="C24" s="28">
        <v>148.17</v>
      </c>
      <c r="D24" s="29">
        <v>146</v>
      </c>
      <c r="E24" s="29">
        <v>6</v>
      </c>
      <c r="F24" s="29">
        <v>-21.43</v>
      </c>
      <c r="G24" s="16">
        <f>C24/C23-1</f>
        <v>-0.808936170212766</v>
      </c>
      <c r="H24" s="16">
        <f>(E24+F24-C24)/C24</f>
        <v>-1.10413713977188</v>
      </c>
      <c r="I24" s="16">
        <f>AVERAGE(J21:J24)</f>
        <v>-1.19980981319344</v>
      </c>
      <c r="J24" s="16">
        <f>('Cashflow'!D24-'Cashflow'!C24)/'Cashflow'!C24</f>
        <v>-1.58187919463087</v>
      </c>
    </row>
    <row r="25" ht="20.05" customHeight="1">
      <c r="B25" s="27"/>
      <c r="C25" s="28">
        <v>299.12</v>
      </c>
      <c r="D25" s="19">
        <v>249</v>
      </c>
      <c r="E25" s="29">
        <f>10-E24</f>
        <v>4</v>
      </c>
      <c r="F25" s="29">
        <v>16.77</v>
      </c>
      <c r="G25" s="16">
        <f>C25/C24-1</f>
        <v>1.0187622325707</v>
      </c>
      <c r="H25" s="16">
        <f>(E25+F25-C25)/C25</f>
        <v>-0.930562984755282</v>
      </c>
      <c r="I25" s="16">
        <f>AVERAGE(J22:J25)</f>
        <v>-1.25937657804371</v>
      </c>
      <c r="J25" s="16">
        <f>('Cashflow'!D25-'Cashflow'!C25)/'Cashflow'!C25</f>
        <v>-1.12142857142857</v>
      </c>
    </row>
    <row r="26" ht="20.05" customHeight="1">
      <c r="B26" s="27"/>
      <c r="C26" s="28">
        <v>301.71</v>
      </c>
      <c r="D26" s="29">
        <v>300.58</v>
      </c>
      <c r="E26" s="29">
        <v>5</v>
      </c>
      <c r="F26" s="29">
        <f>-18.88-SUM(F24:F25)</f>
        <v>-14.22</v>
      </c>
      <c r="G26" s="16">
        <f>C26/C25-1</f>
        <v>0.008658732281358651</v>
      </c>
      <c r="H26" s="16">
        <f>(E26+F26-C26)/C26</f>
        <v>-1.03055914619999</v>
      </c>
      <c r="I26" s="16">
        <f>AVERAGE(J23:J26)</f>
        <v>-1.10833552232524</v>
      </c>
      <c r="J26" s="16">
        <f>('Cashflow'!D26-'Cashflow'!C26)/'Cashflow'!C26</f>
        <v>-0.925513196480938</v>
      </c>
    </row>
    <row r="27" ht="20.05" customHeight="1">
      <c r="B27" s="27"/>
      <c r="C27" s="28">
        <f>1715.6-SUM(C24:C26)</f>
        <v>966.6</v>
      </c>
      <c r="D27" s="29">
        <v>485.16</v>
      </c>
      <c r="E27" s="29">
        <f>16.4+2.6+0.2+0.1+6.7+3.8+0.6-SUM(E24:E26)</f>
        <v>15.4</v>
      </c>
      <c r="F27" s="29">
        <f>30-SUM(F24:F26)</f>
        <v>48.88</v>
      </c>
      <c r="G27" s="16">
        <f>C27/C26-1</f>
        <v>2.20373868947002</v>
      </c>
      <c r="H27" s="16">
        <f>(E27+F27-C27)/C27</f>
        <v>-0.933498861990482</v>
      </c>
      <c r="I27" s="16">
        <f>AVERAGE(J24:J27)</f>
        <v>-1.09898550678245</v>
      </c>
      <c r="J27" s="16">
        <f>('Cashflow'!D27-'Cashflow'!C27)/'Cashflow'!C27</f>
        <v>-0.767121064589419</v>
      </c>
    </row>
    <row r="28" ht="20.05" customHeight="1">
      <c r="B28" s="30">
        <v>2021</v>
      </c>
      <c r="C28" s="28">
        <v>373.2</v>
      </c>
      <c r="D28" s="29">
        <v>175</v>
      </c>
      <c r="E28" s="29">
        <f>1.4+1+4.7</f>
        <v>7.1</v>
      </c>
      <c r="F28" s="29">
        <v>1.8</v>
      </c>
      <c r="G28" s="16">
        <f>C28/C27-1</f>
        <v>-0.613904407200497</v>
      </c>
      <c r="H28" s="16">
        <f>(E28+F28-C28)/C28</f>
        <v>-0.9761521972132901</v>
      </c>
      <c r="I28" s="16">
        <f>AVERAGE(J25:J28)</f>
        <v>-1.07576931766648</v>
      </c>
      <c r="J28" s="16">
        <f>('Cashflow'!D28-'Cashflow'!C28)/'Cashflow'!C28</f>
        <v>-1.48901443816698</v>
      </c>
    </row>
    <row r="29" ht="20.05" customHeight="1">
      <c r="B29" s="27"/>
      <c r="C29" s="28">
        <f>849.3-C28</f>
        <v>476.1</v>
      </c>
      <c r="D29" s="29">
        <v>485.16</v>
      </c>
      <c r="E29" s="14">
        <f>9.3+3.3+2.7+0.1-E28</f>
        <v>8.300000000000001</v>
      </c>
      <c r="F29" s="29">
        <f>1-F28</f>
        <v>-0.8</v>
      </c>
      <c r="G29" s="16">
        <f>C29/C28-1</f>
        <v>0.27572347266881</v>
      </c>
      <c r="H29" s="16">
        <f>(E29+F29-C29)/C29</f>
        <v>-0.9842470069313169</v>
      </c>
      <c r="I29" s="16">
        <f>AVERAGE(J26:J29)</f>
        <v>-0.999362833252408</v>
      </c>
      <c r="J29" s="16">
        <f>('Cashflow'!D29-'Cashflow'!C29)/'Cashflow'!C29</f>
        <v>-0.815802633772295</v>
      </c>
    </row>
    <row r="30" ht="20.05" customHeight="1">
      <c r="B30" s="27"/>
      <c r="C30" s="28">
        <f>1497.8-SUM(C28:C29)</f>
        <v>648.5</v>
      </c>
      <c r="D30" s="14">
        <v>499.905</v>
      </c>
      <c r="E30" s="14">
        <f>14.1+3.1+0.2+4.1+0.2-SUM(E28:E29)</f>
        <v>6.3</v>
      </c>
      <c r="F30" s="14">
        <f>2.8-SUM(F28:F29)</f>
        <v>1.8</v>
      </c>
      <c r="G30" s="16">
        <f>C30/C29-1</f>
        <v>0.362108800672128</v>
      </c>
      <c r="H30" s="16">
        <f>(E30+F30-C30)/C30</f>
        <v>-0.987509637625289</v>
      </c>
      <c r="I30" s="16">
        <f>AVERAGE(J27:J30)</f>
        <v>-1.0379587609363</v>
      </c>
      <c r="J30" s="16">
        <f>('Cashflow'!D30-'Cashflow'!C30)/'Cashflow'!C30</f>
        <v>-1.07989690721649</v>
      </c>
    </row>
    <row r="31" ht="20.05" customHeight="1">
      <c r="B31" s="27"/>
      <c r="C31" s="28"/>
      <c r="D31" s="14">
        <f>'Model'!C6</f>
        <v>1686.1</v>
      </c>
      <c r="E31" s="29"/>
      <c r="F31" s="19"/>
      <c r="G31" s="12"/>
      <c r="H31" s="12"/>
      <c r="I31" s="12"/>
      <c r="J31" s="12"/>
    </row>
    <row r="32" ht="20.05" customHeight="1">
      <c r="B32" s="30">
        <v>2022</v>
      </c>
      <c r="C32" s="28"/>
      <c r="D32" s="29">
        <f>'Model'!D6</f>
        <v>758.745</v>
      </c>
      <c r="E32" s="29"/>
      <c r="F32" s="19"/>
      <c r="G32" s="12"/>
      <c r="H32" s="12"/>
      <c r="I32" s="12"/>
      <c r="J32" s="12"/>
    </row>
    <row r="33" ht="20.05" customHeight="1">
      <c r="B33" s="27"/>
      <c r="C33" s="28"/>
      <c r="D33" s="29">
        <f>'Model'!E6</f>
        <v>948.43125</v>
      </c>
      <c r="E33" s="19"/>
      <c r="F33" s="19"/>
      <c r="G33" s="12"/>
      <c r="H33" s="12"/>
      <c r="I33" s="12"/>
      <c r="J33" s="12"/>
    </row>
    <row r="34" ht="20.05" customHeight="1">
      <c r="B34" s="27"/>
      <c r="C34" s="28"/>
      <c r="D34" s="29">
        <f>'Model'!F6</f>
        <v>1090.6959375</v>
      </c>
      <c r="E34" s="19"/>
      <c r="F34" s="19"/>
      <c r="G34" s="12"/>
      <c r="H34" s="12"/>
      <c r="I34" s="12"/>
      <c r="J34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90625" style="31" customWidth="1"/>
    <col min="2" max="2" width="8.58594" style="31" customWidth="1"/>
    <col min="3" max="4" width="10.6797" style="31" customWidth="1"/>
    <col min="5" max="5" width="12.3125" style="31" customWidth="1"/>
    <col min="6" max="9" width="11.5547" style="31" customWidth="1"/>
    <col min="10" max="16384" width="16.3516" style="31" customWidth="1"/>
  </cols>
  <sheetData>
    <row r="1" ht="19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44</v>
      </c>
      <c r="D3" t="s" s="4">
        <v>45</v>
      </c>
      <c r="E3" t="s" s="4">
        <v>46</v>
      </c>
      <c r="F3" t="s" s="4">
        <v>10</v>
      </c>
      <c r="G3" t="s" s="4">
        <v>47</v>
      </c>
      <c r="H3" t="s" s="4">
        <v>3</v>
      </c>
      <c r="I3" t="s" s="4">
        <v>48</v>
      </c>
    </row>
    <row r="4" ht="20.25" customHeight="1">
      <c r="B4" s="23">
        <v>2015</v>
      </c>
      <c r="C4" s="32">
        <v>209</v>
      </c>
      <c r="D4" s="33">
        <v>-216.6</v>
      </c>
      <c r="E4" s="33">
        <v>-0.9</v>
      </c>
      <c r="F4" s="33">
        <v>99.7</v>
      </c>
      <c r="G4" s="33">
        <f>D4+E4</f>
        <v>-217.5</v>
      </c>
      <c r="H4" s="33"/>
      <c r="I4" s="33">
        <f>-F4</f>
        <v>-99.7</v>
      </c>
    </row>
    <row r="5" ht="20.05" customHeight="1">
      <c r="B5" s="27"/>
      <c r="C5" s="13">
        <v>233</v>
      </c>
      <c r="D5" s="14">
        <v>-7</v>
      </c>
      <c r="E5" s="14">
        <v>-4.3</v>
      </c>
      <c r="F5" s="14">
        <v>6.2</v>
      </c>
      <c r="G5" s="14">
        <f>D5+E5</f>
        <v>-11.3</v>
      </c>
      <c r="H5" s="14"/>
      <c r="I5" s="14">
        <f>-F5+I4</f>
        <v>-105.9</v>
      </c>
    </row>
    <row r="6" ht="20.05" customHeight="1">
      <c r="B6" s="27"/>
      <c r="C6" s="13">
        <v>240</v>
      </c>
      <c r="D6" s="14">
        <v>-84.90000000000001</v>
      </c>
      <c r="E6" s="14">
        <v>-5.2</v>
      </c>
      <c r="F6" s="14">
        <v>92.09999999999999</v>
      </c>
      <c r="G6" s="14">
        <f>D6+E6</f>
        <v>-90.09999999999999</v>
      </c>
      <c r="H6" s="14"/>
      <c r="I6" s="14">
        <f>-F6+I5</f>
        <v>-198</v>
      </c>
    </row>
    <row r="7" ht="20.05" customHeight="1">
      <c r="B7" s="27"/>
      <c r="C7" s="13">
        <v>1358</v>
      </c>
      <c r="D7" s="14">
        <v>442.7</v>
      </c>
      <c r="E7" s="14">
        <v>-9.300000000000001</v>
      </c>
      <c r="F7" s="14">
        <v>-135.9</v>
      </c>
      <c r="G7" s="14">
        <f>D7+E7</f>
        <v>433.4</v>
      </c>
      <c r="H7" s="14"/>
      <c r="I7" s="14">
        <f>-F7+I6</f>
        <v>-62.1</v>
      </c>
    </row>
    <row r="8" ht="20.05" customHeight="1">
      <c r="B8" s="30">
        <v>2016</v>
      </c>
      <c r="C8" s="13">
        <v>208</v>
      </c>
      <c r="D8" s="14">
        <v>-426.4</v>
      </c>
      <c r="E8" s="14">
        <v>-17</v>
      </c>
      <c r="F8" s="14">
        <v>158.1</v>
      </c>
      <c r="G8" s="14">
        <f>D8+E8</f>
        <v>-443.4</v>
      </c>
      <c r="H8" s="14">
        <f>AVERAGE(G5:G8)</f>
        <v>-27.85</v>
      </c>
      <c r="I8" s="14">
        <f>-F8+I7</f>
        <v>-220.2</v>
      </c>
    </row>
    <row r="9" ht="20.05" customHeight="1">
      <c r="B9" s="27"/>
      <c r="C9" s="13">
        <v>203</v>
      </c>
      <c r="D9" s="14">
        <v>-11.5</v>
      </c>
      <c r="E9" s="14">
        <v>-10.3</v>
      </c>
      <c r="F9" s="14">
        <v>22.3</v>
      </c>
      <c r="G9" s="14">
        <f>D9+E9</f>
        <v>-21.8</v>
      </c>
      <c r="H9" s="14">
        <f>AVERAGE(G6:G9)</f>
        <v>-30.475</v>
      </c>
      <c r="I9" s="14">
        <f>-F9+I8</f>
        <v>-242.5</v>
      </c>
    </row>
    <row r="10" ht="20.05" customHeight="1">
      <c r="B10" s="27"/>
      <c r="C10" s="13">
        <v>311</v>
      </c>
      <c r="D10" s="14">
        <v>-42.7</v>
      </c>
      <c r="E10" s="14">
        <v>-12.5</v>
      </c>
      <c r="F10" s="14">
        <v>46.1</v>
      </c>
      <c r="G10" s="14">
        <f>D10+E10</f>
        <v>-55.2</v>
      </c>
      <c r="H10" s="14">
        <f>AVERAGE(G7:G10)</f>
        <v>-21.75</v>
      </c>
      <c r="I10" s="14">
        <f>-F10+I9</f>
        <v>-288.6</v>
      </c>
    </row>
    <row r="11" ht="20.05" customHeight="1">
      <c r="B11" s="27"/>
      <c r="C11" s="13">
        <v>927</v>
      </c>
      <c r="D11" s="14">
        <v>162.7</v>
      </c>
      <c r="E11" s="14">
        <v>-19.1</v>
      </c>
      <c r="F11" s="14">
        <v>-106.5</v>
      </c>
      <c r="G11" s="14">
        <f>D11+E11</f>
        <v>143.6</v>
      </c>
      <c r="H11" s="14">
        <f>AVERAGE(G8:G11)</f>
        <v>-94.2</v>
      </c>
      <c r="I11" s="14">
        <f>-F11+I10</f>
        <v>-182.1</v>
      </c>
    </row>
    <row r="12" ht="20.05" customHeight="1">
      <c r="B12" s="30">
        <v>2017</v>
      </c>
      <c r="C12" s="13">
        <v>200</v>
      </c>
      <c r="D12" s="14">
        <v>-76.90000000000001</v>
      </c>
      <c r="E12" s="14">
        <v>-29</v>
      </c>
      <c r="F12" s="14">
        <v>63.9</v>
      </c>
      <c r="G12" s="14">
        <f>D12+E12</f>
        <v>-105.9</v>
      </c>
      <c r="H12" s="14">
        <f>AVERAGE(G9:G12)</f>
        <v>-9.824999999999999</v>
      </c>
      <c r="I12" s="14">
        <f>-F12+I11</f>
        <v>-246</v>
      </c>
    </row>
    <row r="13" ht="20.05" customHeight="1">
      <c r="B13" s="27"/>
      <c r="C13" s="13">
        <v>275</v>
      </c>
      <c r="D13" s="14">
        <v>54.9</v>
      </c>
      <c r="E13" s="14">
        <v>-36.9</v>
      </c>
      <c r="F13" s="14">
        <v>-2.3</v>
      </c>
      <c r="G13" s="14">
        <f>D13+E13</f>
        <v>18</v>
      </c>
      <c r="H13" s="14">
        <f>AVERAGE(G10:G13)</f>
        <v>0.125</v>
      </c>
      <c r="I13" s="14">
        <f>-F13+I12</f>
        <v>-243.7</v>
      </c>
    </row>
    <row r="14" ht="20.05" customHeight="1">
      <c r="B14" s="27"/>
      <c r="C14" s="13">
        <v>279</v>
      </c>
      <c r="D14" s="14">
        <v>-8.800000000000001</v>
      </c>
      <c r="E14" s="14">
        <v>-31.8</v>
      </c>
      <c r="F14" s="14">
        <v>23.7</v>
      </c>
      <c r="G14" s="14">
        <f>D14+E14</f>
        <v>-40.6</v>
      </c>
      <c r="H14" s="14">
        <f>AVERAGE(G11:G14)</f>
        <v>3.775</v>
      </c>
      <c r="I14" s="14">
        <f>-F14+I13</f>
        <v>-267.4</v>
      </c>
    </row>
    <row r="15" ht="20.05" customHeight="1">
      <c r="B15" s="27"/>
      <c r="C15" s="13">
        <v>908</v>
      </c>
      <c r="D15" s="14">
        <v>177.8</v>
      </c>
      <c r="E15" s="14">
        <v>4.3</v>
      </c>
      <c r="F15" s="14">
        <v>-12.4</v>
      </c>
      <c r="G15" s="14">
        <f>D15+E15</f>
        <v>182.1</v>
      </c>
      <c r="H15" s="14">
        <f>AVERAGE(G12:G15)</f>
        <v>13.4</v>
      </c>
      <c r="I15" s="14">
        <f>-F15+I14</f>
        <v>-255</v>
      </c>
    </row>
    <row r="16" ht="20.05" customHeight="1">
      <c r="B16" s="30">
        <v>2018</v>
      </c>
      <c r="C16" s="13">
        <v>142</v>
      </c>
      <c r="D16" s="14">
        <v>-226.3</v>
      </c>
      <c r="E16" s="14">
        <v>-12.7</v>
      </c>
      <c r="F16" s="14">
        <v>74.40000000000001</v>
      </c>
      <c r="G16" s="14">
        <f>D16+E16</f>
        <v>-239</v>
      </c>
      <c r="H16" s="14">
        <f>AVERAGE(G13:G16)</f>
        <v>-19.875</v>
      </c>
      <c r="I16" s="14">
        <f>-F16+I15</f>
        <v>-329.4</v>
      </c>
    </row>
    <row r="17" ht="20.05" customHeight="1">
      <c r="B17" s="27"/>
      <c r="C17" s="13">
        <v>190</v>
      </c>
      <c r="D17" s="14">
        <v>11.8</v>
      </c>
      <c r="E17" s="14">
        <v>-9.9</v>
      </c>
      <c r="F17" s="14">
        <v>51.8</v>
      </c>
      <c r="G17" s="14">
        <f>D17+E17</f>
        <v>1.9</v>
      </c>
      <c r="H17" s="14">
        <f>AVERAGE(G14:G17)</f>
        <v>-23.9</v>
      </c>
      <c r="I17" s="14">
        <f>-F17+I16</f>
        <v>-381.2</v>
      </c>
    </row>
    <row r="18" ht="20.05" customHeight="1">
      <c r="B18" s="27"/>
      <c r="C18" s="13">
        <v>451</v>
      </c>
      <c r="D18" s="14">
        <v>-5.5</v>
      </c>
      <c r="E18" s="14">
        <v>4.6</v>
      </c>
      <c r="F18" s="14">
        <v>-40.2</v>
      </c>
      <c r="G18" s="14">
        <f>D18+E18</f>
        <v>-0.9</v>
      </c>
      <c r="H18" s="14">
        <f>AVERAGE(G15:G18)</f>
        <v>-13.975</v>
      </c>
      <c r="I18" s="14">
        <f>-F18+I17</f>
        <v>-341</v>
      </c>
    </row>
    <row r="19" ht="20.05" customHeight="1">
      <c r="B19" s="27"/>
      <c r="C19" s="13">
        <v>861</v>
      </c>
      <c r="D19" s="14">
        <v>149.7</v>
      </c>
      <c r="E19" s="14">
        <v>-28.4</v>
      </c>
      <c r="F19" s="14">
        <v>-22.2</v>
      </c>
      <c r="G19" s="14">
        <f>D19+E19</f>
        <v>121.3</v>
      </c>
      <c r="H19" s="14">
        <f>AVERAGE(G16:G19)</f>
        <v>-29.175</v>
      </c>
      <c r="I19" s="14">
        <f>-F19+I18</f>
        <v>-318.8</v>
      </c>
    </row>
    <row r="20" ht="20.05" customHeight="1">
      <c r="B20" s="30">
        <v>2019</v>
      </c>
      <c r="C20" s="13">
        <v>137</v>
      </c>
      <c r="D20" s="14">
        <v>-69.90000000000001</v>
      </c>
      <c r="E20" s="14">
        <v>-12.5</v>
      </c>
      <c r="F20" s="14">
        <v>-30.2</v>
      </c>
      <c r="G20" s="14">
        <f>D20+E20</f>
        <v>-82.40000000000001</v>
      </c>
      <c r="H20" s="14">
        <f>AVERAGE(G17:G20)</f>
        <v>9.975</v>
      </c>
      <c r="I20" s="14">
        <f>-F20+I19</f>
        <v>-288.6</v>
      </c>
    </row>
    <row r="21" ht="20.05" customHeight="1">
      <c r="B21" s="27"/>
      <c r="C21" s="13">
        <v>291</v>
      </c>
      <c r="D21" s="14">
        <v>34</v>
      </c>
      <c r="E21" s="14">
        <v>-1</v>
      </c>
      <c r="F21" s="14">
        <v>-35.3</v>
      </c>
      <c r="G21" s="14">
        <f>D21+E21</f>
        <v>33</v>
      </c>
      <c r="H21" s="14">
        <f>AVERAGE(G18:G21)</f>
        <v>17.75</v>
      </c>
      <c r="I21" s="14">
        <f>-F21+I20</f>
        <v>-253.3</v>
      </c>
    </row>
    <row r="22" ht="20.05" customHeight="1">
      <c r="B22" s="27"/>
      <c r="C22" s="13">
        <v>155</v>
      </c>
      <c r="D22" s="14">
        <v>-82.09999999999999</v>
      </c>
      <c r="E22" s="14">
        <v>72.5</v>
      </c>
      <c r="F22" s="14">
        <v>11.6</v>
      </c>
      <c r="G22" s="14">
        <f>D22+E22</f>
        <v>-9.6</v>
      </c>
      <c r="H22" s="14">
        <f>AVERAGE(G19:G22)</f>
        <v>15.575</v>
      </c>
      <c r="I22" s="14">
        <f>-F22+I21</f>
        <v>-264.9</v>
      </c>
    </row>
    <row r="23" ht="20.05" customHeight="1">
      <c r="B23" s="27"/>
      <c r="C23" s="13">
        <v>710</v>
      </c>
      <c r="D23" s="14">
        <v>138.79</v>
      </c>
      <c r="E23" s="14">
        <v>17.48</v>
      </c>
      <c r="F23" s="14">
        <v>-21.1</v>
      </c>
      <c r="G23" s="14">
        <f>D23+E23</f>
        <v>156.27</v>
      </c>
      <c r="H23" s="14">
        <f>AVERAGE(G20:G23)</f>
        <v>24.3175</v>
      </c>
      <c r="I23" s="14">
        <f>-F23+I22</f>
        <v>-243.8</v>
      </c>
    </row>
    <row r="24" ht="20.05" customHeight="1">
      <c r="B24" s="30">
        <v>2020</v>
      </c>
      <c r="C24" s="13">
        <v>149</v>
      </c>
      <c r="D24" s="14">
        <v>-86.7</v>
      </c>
      <c r="E24" s="14">
        <v>0.5</v>
      </c>
      <c r="F24" s="14">
        <v>-5.7</v>
      </c>
      <c r="G24" s="14">
        <f>D24+E24</f>
        <v>-86.2</v>
      </c>
      <c r="H24" s="14">
        <f>AVERAGE(G21:G24)</f>
        <v>23.3675</v>
      </c>
      <c r="I24" s="14">
        <f>-F24+I23</f>
        <v>-238.1</v>
      </c>
    </row>
    <row r="25" ht="20.05" customHeight="1">
      <c r="B25" s="27"/>
      <c r="C25" s="13">
        <v>294</v>
      </c>
      <c r="D25" s="14">
        <v>-35.7</v>
      </c>
      <c r="E25" s="14">
        <v>-2.4</v>
      </c>
      <c r="F25" s="14">
        <v>29.7</v>
      </c>
      <c r="G25" s="14">
        <f>D25+E25</f>
        <v>-38.1</v>
      </c>
      <c r="H25" s="14">
        <f>AVERAGE(G22:G25)</f>
        <v>5.5925</v>
      </c>
      <c r="I25" s="14">
        <f>-F25+I24</f>
        <v>-267.8</v>
      </c>
    </row>
    <row r="26" ht="20.05" customHeight="1">
      <c r="B26" s="27"/>
      <c r="C26" s="13">
        <v>341</v>
      </c>
      <c r="D26" s="14">
        <v>25.4</v>
      </c>
      <c r="E26" s="14">
        <v>-1.1</v>
      </c>
      <c r="F26" s="14">
        <v>-48</v>
      </c>
      <c r="G26" s="14">
        <f>D26+E26</f>
        <v>24.3</v>
      </c>
      <c r="H26" s="14">
        <f>AVERAGE(G23:G26)</f>
        <v>14.0675</v>
      </c>
      <c r="I26" s="14">
        <f>-F26+I25</f>
        <v>-219.8</v>
      </c>
    </row>
    <row r="27" ht="20.05" customHeight="1">
      <c r="B27" s="27"/>
      <c r="C27" s="13">
        <f>1400.2-SUM(C24:C26)</f>
        <v>616.2</v>
      </c>
      <c r="D27" s="14">
        <f>46.5-SUM(D24:D26)</f>
        <v>143.5</v>
      </c>
      <c r="E27" s="14">
        <f>-9-SUM(E24:E26)</f>
        <v>-6</v>
      </c>
      <c r="F27" s="14">
        <f>-30.7-SUM(F24:F26)</f>
        <v>-6.7</v>
      </c>
      <c r="G27" s="14">
        <f>D27+E27</f>
        <v>137.5</v>
      </c>
      <c r="H27" s="14">
        <f>AVERAGE(G24:G27)</f>
        <v>9.375</v>
      </c>
      <c r="I27" s="14">
        <f>-F27+I26</f>
        <v>-213.1</v>
      </c>
    </row>
    <row r="28" ht="20.05" customHeight="1">
      <c r="B28" s="30">
        <v>2021</v>
      </c>
      <c r="C28" s="13">
        <v>318.6</v>
      </c>
      <c r="D28" s="14">
        <v>-155.8</v>
      </c>
      <c r="E28" s="14">
        <v>-2.5</v>
      </c>
      <c r="F28" s="14">
        <v>20.3</v>
      </c>
      <c r="G28" s="14">
        <f>D28+E28</f>
        <v>-158.3</v>
      </c>
      <c r="H28" s="14">
        <f>AVERAGE(G25:G28)</f>
        <v>-8.65</v>
      </c>
      <c r="I28" s="14">
        <f>-F28+I27</f>
        <v>-233.4</v>
      </c>
    </row>
    <row r="29" ht="20.05" customHeight="1">
      <c r="B29" s="27"/>
      <c r="C29" s="13">
        <f>918.5-C28</f>
        <v>599.9</v>
      </c>
      <c r="D29" s="14">
        <f>-45.3-D28</f>
        <v>110.5</v>
      </c>
      <c r="E29" s="14">
        <f>-5.9-E28</f>
        <v>-3.4</v>
      </c>
      <c r="F29" s="14">
        <f>11.2-F28</f>
        <v>-9.1</v>
      </c>
      <c r="G29" s="14">
        <f>D29+E29</f>
        <v>107.1</v>
      </c>
      <c r="H29" s="14">
        <f>AVERAGE(G26:G29)</f>
        <v>27.65</v>
      </c>
      <c r="I29" s="14">
        <f>-F29+I28</f>
        <v>-224.3</v>
      </c>
    </row>
    <row r="30" ht="20.05" customHeight="1">
      <c r="B30" s="27"/>
      <c r="C30" s="13">
        <f>1461.7-SUM(C28:C29)</f>
        <v>543.2</v>
      </c>
      <c r="D30" s="14">
        <f>1.9+SUM(D28:D29)</f>
        <v>-43.4</v>
      </c>
      <c r="E30" s="14">
        <f>-37.4-SUM(E28:E29)</f>
        <v>-31.5</v>
      </c>
      <c r="F30" s="14">
        <f>227.7-SUM(F28:F29)</f>
        <v>216.5</v>
      </c>
      <c r="G30" s="14">
        <f>D30+E30</f>
        <v>-74.90000000000001</v>
      </c>
      <c r="H30" s="14">
        <f>AVERAGE(G27:G30)</f>
        <v>2.85</v>
      </c>
      <c r="I30" s="14">
        <f>-F30+I29</f>
        <v>-440.8</v>
      </c>
    </row>
    <row r="31" ht="20.05" customHeight="1">
      <c r="B31" s="27"/>
      <c r="C31" s="13"/>
      <c r="D31" s="14"/>
      <c r="E31" s="14"/>
      <c r="F31" s="14"/>
      <c r="G31" s="14"/>
      <c r="H31" s="14">
        <f>SUM('Model'!F9:F10)</f>
        <v>6.331725543480</v>
      </c>
      <c r="I31" s="14">
        <f>'Model'!F32</f>
        <v>-413.564017210140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9.53125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26</v>
      </c>
      <c r="J3" t="s" s="4">
        <v>51</v>
      </c>
      <c r="K3" t="s" s="4">
        <v>34</v>
      </c>
    </row>
    <row r="4" ht="20.25" customHeight="1">
      <c r="B4" s="23">
        <v>2016</v>
      </c>
      <c r="C4" s="32">
        <v>28</v>
      </c>
      <c r="D4" s="33">
        <v>1324</v>
      </c>
      <c r="E4" s="33">
        <f>D4-C4</f>
        <v>1296</v>
      </c>
      <c r="F4" s="33">
        <f>143</f>
        <v>143</v>
      </c>
      <c r="G4" s="33">
        <v>751</v>
      </c>
      <c r="H4" s="33">
        <v>573</v>
      </c>
      <c r="I4" s="33">
        <f>G4+H4-C4-E4</f>
        <v>0</v>
      </c>
      <c r="J4" s="33">
        <f>C4-G4</f>
        <v>-723</v>
      </c>
      <c r="K4" s="33"/>
    </row>
    <row r="5" ht="20.05" customHeight="1">
      <c r="B5" s="27"/>
      <c r="C5" s="13">
        <v>28</v>
      </c>
      <c r="D5" s="14">
        <v>1348</v>
      </c>
      <c r="E5" s="14">
        <f>D5-C5</f>
        <v>1320</v>
      </c>
      <c r="F5" s="14">
        <f>147+0.3</f>
        <v>147.3</v>
      </c>
      <c r="G5" s="14">
        <v>783</v>
      </c>
      <c r="H5" s="14">
        <v>565</v>
      </c>
      <c r="I5" s="14">
        <f>G5+H5-C5-E5</f>
        <v>0</v>
      </c>
      <c r="J5" s="14">
        <f>C5-G5</f>
        <v>-755</v>
      </c>
      <c r="K5" s="14"/>
    </row>
    <row r="6" ht="20.05" customHeight="1">
      <c r="B6" s="27"/>
      <c r="C6" s="13">
        <v>19</v>
      </c>
      <c r="D6" s="14">
        <v>1483</v>
      </c>
      <c r="E6" s="14">
        <f>D6-C6</f>
        <v>1464</v>
      </c>
      <c r="F6" s="14">
        <f>149+0.3</f>
        <v>149.3</v>
      </c>
      <c r="G6" s="14">
        <v>921</v>
      </c>
      <c r="H6" s="14">
        <v>562</v>
      </c>
      <c r="I6" s="14">
        <f>G6+H6-C6-E6</f>
        <v>0</v>
      </c>
      <c r="J6" s="14">
        <f>C6-G6</f>
        <v>-902</v>
      </c>
      <c r="K6" s="14"/>
    </row>
    <row r="7" ht="20.05" customHeight="1">
      <c r="B7" s="27"/>
      <c r="C7" s="13">
        <f>56</f>
        <v>56</v>
      </c>
      <c r="D7" s="14">
        <v>1382</v>
      </c>
      <c r="E7" s="14">
        <f>D7-C7</f>
        <v>1326</v>
      </c>
      <c r="F7" s="14">
        <f>151.5+0.4</f>
        <v>151.9</v>
      </c>
      <c r="G7" s="14">
        <v>806</v>
      </c>
      <c r="H7" s="14">
        <v>576.4</v>
      </c>
      <c r="I7" s="14">
        <f>G7+H7-C7-E7</f>
        <v>0.4</v>
      </c>
      <c r="J7" s="14">
        <f>C7-G7</f>
        <v>-750</v>
      </c>
      <c r="K7" s="14"/>
    </row>
    <row r="8" ht="20.05" customHeight="1">
      <c r="B8" s="30">
        <v>2017</v>
      </c>
      <c r="C8" s="13">
        <v>14</v>
      </c>
      <c r="D8" s="14">
        <v>1455</v>
      </c>
      <c r="E8" s="14">
        <f>D8-C8</f>
        <v>1441</v>
      </c>
      <c r="F8" s="14">
        <f>155+0.4</f>
        <v>155.4</v>
      </c>
      <c r="G8" s="14">
        <v>914</v>
      </c>
      <c r="H8" s="14">
        <v>541</v>
      </c>
      <c r="I8" s="14">
        <f>G8+H8-C8-E8</f>
        <v>0</v>
      </c>
      <c r="J8" s="14">
        <f>C8-G8</f>
        <v>-900</v>
      </c>
      <c r="K8" s="14"/>
    </row>
    <row r="9" ht="20.05" customHeight="1">
      <c r="B9" s="27"/>
      <c r="C9" s="13"/>
      <c r="D9" s="14">
        <v>0</v>
      </c>
      <c r="E9" s="14">
        <f>D9-C9</f>
        <v>0</v>
      </c>
      <c r="F9" s="14"/>
      <c r="G9" s="14">
        <v>0</v>
      </c>
      <c r="H9" s="14"/>
      <c r="I9" s="14">
        <f>G9+H9-C9-E9</f>
        <v>0</v>
      </c>
      <c r="J9" s="14"/>
      <c r="K9" s="14"/>
    </row>
    <row r="10" ht="20.05" customHeight="1">
      <c r="B10" s="27"/>
      <c r="C10" s="13">
        <v>13</v>
      </c>
      <c r="D10" s="14">
        <v>1473</v>
      </c>
      <c r="E10" s="14">
        <f>D10-C10</f>
        <v>1460</v>
      </c>
      <c r="F10" s="14">
        <f>163+0.5</f>
        <v>163.5</v>
      </c>
      <c r="G10" s="14">
        <v>961</v>
      </c>
      <c r="H10" s="14">
        <v>512</v>
      </c>
      <c r="I10" s="14">
        <f>G10+H10-C10-E10</f>
        <v>0</v>
      </c>
      <c r="J10" s="14">
        <f>C10-G10</f>
        <v>-948</v>
      </c>
      <c r="K10" s="14"/>
    </row>
    <row r="11" ht="20.05" customHeight="1">
      <c r="B11" s="27"/>
      <c r="C11" s="13">
        <v>183</v>
      </c>
      <c r="D11" s="14">
        <v>1530</v>
      </c>
      <c r="E11" s="14">
        <f>D11-C11</f>
        <v>1347</v>
      </c>
      <c r="F11" s="14">
        <f>0.5+166</f>
        <v>166.5</v>
      </c>
      <c r="G11" s="14">
        <v>1003</v>
      </c>
      <c r="H11" s="14">
        <v>527</v>
      </c>
      <c r="I11" s="14">
        <f>G11+H11-C11-E11</f>
        <v>0</v>
      </c>
      <c r="J11" s="14">
        <f>C11-G11</f>
        <v>-820</v>
      </c>
      <c r="K11" s="14"/>
    </row>
    <row r="12" ht="20.05" customHeight="1">
      <c r="B12" s="30">
        <v>2018</v>
      </c>
      <c r="C12" s="13">
        <v>18</v>
      </c>
      <c r="D12" s="14">
        <v>1431</v>
      </c>
      <c r="E12" s="14">
        <f>D12-C12</f>
        <v>1413</v>
      </c>
      <c r="F12" s="14">
        <f>171+0.6</f>
        <v>171.6</v>
      </c>
      <c r="G12" s="14">
        <v>913</v>
      </c>
      <c r="H12" s="14">
        <v>518</v>
      </c>
      <c r="I12" s="14">
        <f>G12+H12-C12-E12</f>
        <v>0</v>
      </c>
      <c r="J12" s="14">
        <f>C12-G12</f>
        <v>-895</v>
      </c>
      <c r="K12" s="14"/>
    </row>
    <row r="13" ht="20.05" customHeight="1">
      <c r="B13" s="27"/>
      <c r="C13" s="13">
        <v>72</v>
      </c>
      <c r="D13" s="14">
        <v>1465</v>
      </c>
      <c r="E13" s="14">
        <f>D13-C13</f>
        <v>1393</v>
      </c>
      <c r="F13" s="14">
        <f>176+0.6</f>
        <v>176.6</v>
      </c>
      <c r="G13" s="14">
        <v>938</v>
      </c>
      <c r="H13" s="14">
        <v>527</v>
      </c>
      <c r="I13" s="14">
        <f>G13+H13-C13-E13</f>
        <v>0</v>
      </c>
      <c r="J13" s="14">
        <f>C13-G13</f>
        <v>-866</v>
      </c>
      <c r="K13" s="14"/>
    </row>
    <row r="14" ht="20.05" customHeight="1">
      <c r="B14" s="27"/>
      <c r="C14" s="13">
        <v>30</v>
      </c>
      <c r="D14" s="14">
        <v>1523</v>
      </c>
      <c r="E14" s="14">
        <f>D14-C14</f>
        <v>1493</v>
      </c>
      <c r="F14" s="14">
        <f>187+0.7</f>
        <v>187.7</v>
      </c>
      <c r="G14" s="14">
        <v>1032</v>
      </c>
      <c r="H14" s="14">
        <v>491</v>
      </c>
      <c r="I14" s="14">
        <f>G14+H14-C14-E14</f>
        <v>0</v>
      </c>
      <c r="J14" s="14">
        <f>C14-G14</f>
        <v>-1002</v>
      </c>
      <c r="K14" s="14"/>
    </row>
    <row r="15" ht="20.05" customHeight="1">
      <c r="B15" s="27"/>
      <c r="C15" s="13">
        <v>129</v>
      </c>
      <c r="D15" s="14">
        <v>1442</v>
      </c>
      <c r="E15" s="14">
        <f>D15-C15</f>
        <v>1313</v>
      </c>
      <c r="F15" s="14">
        <f>185+0.7</f>
        <v>185.7</v>
      </c>
      <c r="G15" s="14">
        <v>945</v>
      </c>
      <c r="H15" s="14">
        <v>497</v>
      </c>
      <c r="I15" s="14">
        <f>G15+H15-C15-E15</f>
        <v>0</v>
      </c>
      <c r="J15" s="14">
        <f>C15-G15</f>
        <v>-816</v>
      </c>
      <c r="K15" s="14"/>
    </row>
    <row r="16" ht="20.05" customHeight="1">
      <c r="B16" s="30">
        <v>2019</v>
      </c>
      <c r="C16" s="13">
        <v>17</v>
      </c>
      <c r="D16" s="14">
        <v>1402</v>
      </c>
      <c r="E16" s="14">
        <f>D16-C16</f>
        <v>1385</v>
      </c>
      <c r="F16" s="14">
        <f>188+0.8</f>
        <v>188.8</v>
      </c>
      <c r="G16" s="14">
        <v>927</v>
      </c>
      <c r="H16" s="14">
        <v>475</v>
      </c>
      <c r="I16" s="14">
        <f>G16+H16-C16-E16</f>
        <v>0</v>
      </c>
      <c r="J16" s="14">
        <f>C16-G16</f>
        <v>-910</v>
      </c>
      <c r="K16" s="14"/>
    </row>
    <row r="17" ht="20.05" customHeight="1">
      <c r="B17" s="27"/>
      <c r="C17" s="13">
        <v>14</v>
      </c>
      <c r="D17" s="14">
        <v>1400</v>
      </c>
      <c r="E17" s="14">
        <f>D17-C17</f>
        <v>1386</v>
      </c>
      <c r="F17" s="14">
        <f>192+0.8</f>
        <v>192.8</v>
      </c>
      <c r="G17" s="14">
        <v>928</v>
      </c>
      <c r="H17" s="14">
        <v>472</v>
      </c>
      <c r="I17" s="14">
        <f>G17+H17-C17-E17</f>
        <v>0</v>
      </c>
      <c r="J17" s="14">
        <f>C17-G17</f>
        <v>-914</v>
      </c>
      <c r="K17" s="14"/>
    </row>
    <row r="18" ht="20.05" customHeight="1">
      <c r="B18" s="27"/>
      <c r="C18" s="13">
        <v>16</v>
      </c>
      <c r="D18" s="14">
        <v>1326</v>
      </c>
      <c r="E18" s="14">
        <f>D18-C18</f>
        <v>1310</v>
      </c>
      <c r="F18" s="14">
        <f>199+0.8</f>
        <v>199.8</v>
      </c>
      <c r="G18" s="14">
        <v>864</v>
      </c>
      <c r="H18" s="14">
        <v>462</v>
      </c>
      <c r="I18" s="14">
        <f>G18+H18-C18-E18</f>
        <v>0</v>
      </c>
      <c r="J18" s="14">
        <f>C18-G18</f>
        <v>-848</v>
      </c>
      <c r="K18" s="14"/>
    </row>
    <row r="19" ht="20.05" customHeight="1">
      <c r="B19" s="27"/>
      <c r="C19" s="13">
        <v>151</v>
      </c>
      <c r="D19" s="14">
        <v>1384</v>
      </c>
      <c r="E19" s="14">
        <f>D19-C19</f>
        <v>1233</v>
      </c>
      <c r="F19" s="14">
        <f>0.7+257.8</f>
        <v>258.5</v>
      </c>
      <c r="G19" s="14">
        <v>879</v>
      </c>
      <c r="H19" s="14">
        <v>505</v>
      </c>
      <c r="I19" s="14">
        <f>G19+H19-C19-E19</f>
        <v>0</v>
      </c>
      <c r="J19" s="14">
        <f>C19-G19</f>
        <v>-728</v>
      </c>
      <c r="K19" s="14"/>
    </row>
    <row r="20" ht="20.05" customHeight="1">
      <c r="B20" s="30">
        <v>2020</v>
      </c>
      <c r="C20" s="13">
        <v>60</v>
      </c>
      <c r="D20" s="14">
        <v>1402</v>
      </c>
      <c r="E20" s="14">
        <f>D20-C20</f>
        <v>1342</v>
      </c>
      <c r="F20" s="14">
        <f>0.8+260.6</f>
        <v>261.4</v>
      </c>
      <c r="G20" s="14">
        <v>919</v>
      </c>
      <c r="H20" s="14">
        <v>483</v>
      </c>
      <c r="I20" s="14">
        <f>G20+H20-C20-E20</f>
        <v>0</v>
      </c>
      <c r="J20" s="14">
        <f>C20-G20</f>
        <v>-859</v>
      </c>
      <c r="K20" s="14"/>
    </row>
    <row r="21" ht="20.05" customHeight="1">
      <c r="B21" s="27"/>
      <c r="C21" s="13">
        <v>51</v>
      </c>
      <c r="D21" s="14">
        <v>1555</v>
      </c>
      <c r="E21" s="14">
        <f>D21-C21</f>
        <v>1504</v>
      </c>
      <c r="F21" s="14">
        <f>268+1</f>
        <v>269</v>
      </c>
      <c r="G21" s="14">
        <v>1055</v>
      </c>
      <c r="H21" s="14">
        <v>500</v>
      </c>
      <c r="I21" s="14">
        <f>G21+H21-C21-E21</f>
        <v>0</v>
      </c>
      <c r="J21" s="14">
        <f>C21-G21</f>
        <v>-1004</v>
      </c>
      <c r="K21" s="14"/>
    </row>
    <row r="22" ht="20.05" customHeight="1">
      <c r="B22" s="27"/>
      <c r="C22" s="13">
        <v>27</v>
      </c>
      <c r="D22" s="14">
        <v>1491</v>
      </c>
      <c r="E22" s="14">
        <f>D22-C22</f>
        <v>1464</v>
      </c>
      <c r="F22" s="14">
        <f>F21+'Sales'!E26</f>
        <v>274</v>
      </c>
      <c r="G22" s="14">
        <v>1005</v>
      </c>
      <c r="H22" s="14">
        <v>486</v>
      </c>
      <c r="I22" s="14">
        <f>G22+H22-C22-E22</f>
        <v>0</v>
      </c>
      <c r="J22" s="14">
        <f>C22-G22</f>
        <v>-978</v>
      </c>
      <c r="K22" s="14"/>
    </row>
    <row r="23" ht="20.05" customHeight="1">
      <c r="B23" s="27"/>
      <c r="C23" s="13">
        <v>158</v>
      </c>
      <c r="D23" s="14">
        <v>1713</v>
      </c>
      <c r="E23" s="14">
        <f>D23-C23</f>
        <v>1555</v>
      </c>
      <c r="F23" s="14">
        <f>1+13+4+278</f>
        <v>296</v>
      </c>
      <c r="G23" s="14">
        <v>1283</v>
      </c>
      <c r="H23" s="14">
        <v>430</v>
      </c>
      <c r="I23" s="14">
        <f>G23+H23-C23-E23</f>
        <v>0</v>
      </c>
      <c r="J23" s="14">
        <f>C23-G23</f>
        <v>-1125</v>
      </c>
      <c r="K23" s="14"/>
    </row>
    <row r="24" ht="20.05" customHeight="1">
      <c r="B24" s="30">
        <v>2021</v>
      </c>
      <c r="C24" s="13">
        <v>20</v>
      </c>
      <c r="D24" s="14">
        <v>1821</v>
      </c>
      <c r="E24" s="14">
        <f>D24-C24</f>
        <v>1801</v>
      </c>
      <c r="F24" s="14">
        <f>1+1+14+283</f>
        <v>299</v>
      </c>
      <c r="G24" s="14">
        <v>1389</v>
      </c>
      <c r="H24" s="14">
        <v>432</v>
      </c>
      <c r="I24" s="14">
        <f>G24+H24-C24-E24</f>
        <v>0</v>
      </c>
      <c r="J24" s="14">
        <f>C24-G24</f>
        <v>-1369</v>
      </c>
      <c r="K24" s="14"/>
    </row>
    <row r="25" ht="20.05" customHeight="1">
      <c r="B25" s="27"/>
      <c r="C25" s="13">
        <v>118</v>
      </c>
      <c r="D25" s="14">
        <v>1951</v>
      </c>
      <c r="E25" s="14">
        <f>D25-C25</f>
        <v>1833</v>
      </c>
      <c r="F25" s="14">
        <f>1+3+17+287</f>
        <v>308</v>
      </c>
      <c r="G25" s="14">
        <v>1520</v>
      </c>
      <c r="H25" s="14">
        <v>431</v>
      </c>
      <c r="I25" s="14">
        <f>G25+H25-C25-E25</f>
        <v>0</v>
      </c>
      <c r="J25" s="14">
        <f>C25-G25</f>
        <v>-1402</v>
      </c>
      <c r="K25" s="14"/>
    </row>
    <row r="26" ht="20.05" customHeight="1">
      <c r="B26" s="27"/>
      <c r="C26" s="13">
        <v>350</v>
      </c>
      <c r="D26" s="14">
        <v>2338</v>
      </c>
      <c r="E26" s="14">
        <f>D26-C26</f>
        <v>1988</v>
      </c>
      <c r="F26" s="14">
        <f>292+16+1+4</f>
        <v>313</v>
      </c>
      <c r="G26" s="14">
        <v>1905</v>
      </c>
      <c r="H26" s="14">
        <v>433</v>
      </c>
      <c r="I26" s="14">
        <f>G26+H26-C26-E26</f>
        <v>0</v>
      </c>
      <c r="J26" s="14">
        <f>C26-G26</f>
        <v>-1555</v>
      </c>
      <c r="K26" s="14">
        <f>J26</f>
        <v>-1555</v>
      </c>
    </row>
    <row r="27" ht="20.05" customHeight="1">
      <c r="B27" s="27"/>
      <c r="C27" s="13"/>
      <c r="D27" s="14"/>
      <c r="E27" s="14"/>
      <c r="F27" s="14"/>
      <c r="G27" s="14"/>
      <c r="H27" s="14"/>
      <c r="I27" s="14"/>
      <c r="J27" s="14"/>
      <c r="K27" s="14">
        <f>'Model'!F30</f>
        <v>-1541.3948120471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5" customWidth="1"/>
    <col min="2" max="2" width="5.26562" style="35" customWidth="1"/>
    <col min="3" max="4" width="11.0547" style="35" customWidth="1"/>
    <col min="5" max="16384" width="16.3516" style="35" customWidth="1"/>
  </cols>
  <sheetData>
    <row r="1" ht="34" customHeight="1"/>
    <row r="2" ht="28.65" customHeight="1">
      <c r="B2" t="s" s="36">
        <v>52</v>
      </c>
      <c r="C2" s="36"/>
      <c r="D2" s="36"/>
    </row>
    <row r="3" ht="20.25" customHeight="1">
      <c r="B3" s="5"/>
      <c r="C3" t="s" s="37">
        <v>53</v>
      </c>
      <c r="D3" t="s" s="37">
        <v>37</v>
      </c>
    </row>
    <row r="4" ht="20.25" customHeight="1">
      <c r="B4" s="23">
        <v>2014</v>
      </c>
      <c r="C4" s="32">
        <v>164</v>
      </c>
      <c r="D4" s="33"/>
    </row>
    <row r="5" ht="20.05" customHeight="1">
      <c r="B5" s="27"/>
      <c r="C5" s="13">
        <v>172</v>
      </c>
      <c r="D5" s="14"/>
    </row>
    <row r="6" ht="20.05" customHeight="1">
      <c r="B6" s="27"/>
      <c r="C6" s="13">
        <v>196</v>
      </c>
      <c r="D6" s="14"/>
    </row>
    <row r="7" ht="20.05" customHeight="1">
      <c r="B7" s="27"/>
      <c r="C7" s="13">
        <v>185</v>
      </c>
      <c r="D7" s="14"/>
    </row>
    <row r="8" ht="20.05" customHeight="1">
      <c r="B8" s="27"/>
      <c r="C8" s="13">
        <v>182</v>
      </c>
      <c r="D8" s="14"/>
    </row>
    <row r="9" ht="20.05" customHeight="1">
      <c r="B9" s="27"/>
      <c r="C9" s="13">
        <v>168</v>
      </c>
      <c r="D9" s="14"/>
    </row>
    <row r="10" ht="20.05" customHeight="1">
      <c r="B10" s="27"/>
      <c r="C10" s="13">
        <v>178</v>
      </c>
      <c r="D10" s="14"/>
    </row>
    <row r="11" ht="20.05" customHeight="1">
      <c r="B11" s="27"/>
      <c r="C11" s="13">
        <v>174</v>
      </c>
      <c r="D11" s="14"/>
    </row>
    <row r="12" ht="20.05" customHeight="1">
      <c r="B12" s="27"/>
      <c r="C12" s="13">
        <v>161</v>
      </c>
      <c r="D12" s="14"/>
    </row>
    <row r="13" ht="20.05" customHeight="1">
      <c r="B13" s="27"/>
      <c r="C13" s="13">
        <v>167</v>
      </c>
      <c r="D13" s="14"/>
    </row>
    <row r="14" ht="20.05" customHeight="1">
      <c r="B14" s="27"/>
      <c r="C14" s="13">
        <v>285</v>
      </c>
      <c r="D14" s="14"/>
    </row>
    <row r="15" ht="20.05" customHeight="1">
      <c r="B15" s="27"/>
      <c r="C15" s="13">
        <v>355</v>
      </c>
      <c r="D15" s="14"/>
    </row>
    <row r="16" ht="20.05" customHeight="1">
      <c r="B16" s="30">
        <v>2015</v>
      </c>
      <c r="C16" s="13">
        <v>287</v>
      </c>
      <c r="D16" s="14"/>
    </row>
    <row r="17" ht="20.05" customHeight="1">
      <c r="B17" s="27"/>
      <c r="C17" s="13">
        <v>329</v>
      </c>
      <c r="D17" s="14"/>
    </row>
    <row r="18" ht="20.05" customHeight="1">
      <c r="B18" s="27"/>
      <c r="C18" s="13">
        <v>289</v>
      </c>
      <c r="D18" s="14"/>
    </row>
    <row r="19" ht="20.05" customHeight="1">
      <c r="B19" s="27"/>
      <c r="C19" s="13">
        <v>255</v>
      </c>
      <c r="D19" s="14"/>
    </row>
    <row r="20" ht="20.05" customHeight="1">
      <c r="B20" s="27"/>
      <c r="C20" s="13">
        <v>248</v>
      </c>
      <c r="D20" s="14"/>
    </row>
    <row r="21" ht="20.05" customHeight="1">
      <c r="B21" s="27"/>
      <c r="C21" s="13">
        <v>196</v>
      </c>
      <c r="D21" s="14"/>
    </row>
    <row r="22" ht="20.05" customHeight="1">
      <c r="B22" s="27"/>
      <c r="C22" s="13">
        <v>195</v>
      </c>
      <c r="D22" s="14"/>
    </row>
    <row r="23" ht="20.05" customHeight="1">
      <c r="B23" s="27"/>
      <c r="C23" s="13">
        <v>149</v>
      </c>
      <c r="D23" s="14"/>
    </row>
    <row r="24" ht="20.05" customHeight="1">
      <c r="B24" s="27"/>
      <c r="C24" s="13">
        <v>127</v>
      </c>
      <c r="D24" s="14"/>
    </row>
    <row r="25" ht="20.05" customHeight="1">
      <c r="B25" s="27"/>
      <c r="C25" s="13">
        <v>141</v>
      </c>
      <c r="D25" s="14"/>
    </row>
    <row r="26" ht="20.05" customHeight="1">
      <c r="B26" s="27"/>
      <c r="C26" s="13">
        <v>179</v>
      </c>
      <c r="D26" s="14"/>
    </row>
    <row r="27" ht="20.05" customHeight="1">
      <c r="B27" s="27"/>
      <c r="C27" s="13">
        <v>168</v>
      </c>
      <c r="D27" s="14"/>
    </row>
    <row r="28" ht="20.05" customHeight="1">
      <c r="B28" s="30">
        <v>2016</v>
      </c>
      <c r="C28" s="13">
        <v>253</v>
      </c>
      <c r="D28" s="14"/>
    </row>
    <row r="29" ht="20.05" customHeight="1">
      <c r="B29" s="27"/>
      <c r="C29" s="13">
        <v>308</v>
      </c>
      <c r="D29" s="14"/>
    </row>
    <row r="30" ht="20.05" customHeight="1">
      <c r="B30" s="27"/>
      <c r="C30" s="13">
        <v>406</v>
      </c>
      <c r="D30" s="14"/>
    </row>
    <row r="31" ht="20.05" customHeight="1">
      <c r="B31" s="27"/>
      <c r="C31" s="13">
        <v>785</v>
      </c>
      <c r="D31" s="14"/>
    </row>
    <row r="32" ht="20.05" customHeight="1">
      <c r="B32" s="27"/>
      <c r="C32" s="13">
        <v>955</v>
      </c>
      <c r="D32" s="14"/>
    </row>
    <row r="33" ht="20.05" customHeight="1">
      <c r="B33" s="27"/>
      <c r="C33" s="13">
        <v>1220</v>
      </c>
      <c r="D33" s="14"/>
    </row>
    <row r="34" ht="20.05" customHeight="1">
      <c r="B34" s="27"/>
      <c r="C34" s="13">
        <v>1620</v>
      </c>
      <c r="D34" s="14"/>
    </row>
    <row r="35" ht="20.05" customHeight="1">
      <c r="B35" s="27"/>
      <c r="C35" s="13">
        <v>1885</v>
      </c>
      <c r="D35" s="14"/>
    </row>
    <row r="36" ht="20.05" customHeight="1">
      <c r="B36" s="27"/>
      <c r="C36" s="13">
        <v>2490</v>
      </c>
      <c r="D36" s="14"/>
    </row>
    <row r="37" ht="20.05" customHeight="1">
      <c r="B37" s="27"/>
      <c r="C37" s="13">
        <v>2560</v>
      </c>
      <c r="D37" s="14"/>
    </row>
    <row r="38" ht="20.05" customHeight="1">
      <c r="B38" s="27"/>
      <c r="C38" s="13">
        <v>4400</v>
      </c>
      <c r="D38" s="14"/>
    </row>
    <row r="39" ht="20.05" customHeight="1">
      <c r="B39" s="27"/>
      <c r="C39" s="13">
        <v>4680</v>
      </c>
      <c r="D39" s="14"/>
    </row>
    <row r="40" ht="20.05" customHeight="1">
      <c r="B40" s="30">
        <v>2017</v>
      </c>
      <c r="C40" s="13">
        <v>2340</v>
      </c>
      <c r="D40" s="14"/>
    </row>
    <row r="41" ht="20.05" customHeight="1">
      <c r="B41" s="27"/>
      <c r="C41" s="13">
        <v>2100</v>
      </c>
      <c r="D41" s="14"/>
    </row>
    <row r="42" ht="20.05" customHeight="1">
      <c r="B42" s="27"/>
      <c r="C42" s="13">
        <v>3780</v>
      </c>
      <c r="D42" s="14"/>
    </row>
    <row r="43" ht="20.05" customHeight="1">
      <c r="B43" s="27"/>
      <c r="C43" s="13">
        <v>3240</v>
      </c>
      <c r="D43" s="14"/>
    </row>
    <row r="44" ht="20.05" customHeight="1">
      <c r="B44" s="27"/>
      <c r="C44" s="13">
        <v>3530</v>
      </c>
      <c r="D44" s="14"/>
    </row>
    <row r="45" ht="20.05" customHeight="1">
      <c r="B45" s="27"/>
      <c r="C45" s="13">
        <v>2920</v>
      </c>
      <c r="D45" s="14"/>
    </row>
    <row r="46" ht="20.05" customHeight="1">
      <c r="B46" s="27"/>
      <c r="C46" s="13">
        <v>2690</v>
      </c>
      <c r="D46" s="14"/>
    </row>
    <row r="47" ht="20.05" customHeight="1">
      <c r="B47" s="27"/>
      <c r="C47" s="13">
        <v>2530</v>
      </c>
      <c r="D47" s="14"/>
    </row>
    <row r="48" ht="20.05" customHeight="1">
      <c r="B48" s="27"/>
      <c r="C48" s="13">
        <v>2360</v>
      </c>
      <c r="D48" s="14"/>
    </row>
    <row r="49" ht="20.05" customHeight="1">
      <c r="B49" s="27"/>
      <c r="C49" s="13">
        <v>2640</v>
      </c>
      <c r="D49" s="14"/>
    </row>
    <row r="50" ht="20.05" customHeight="1">
      <c r="B50" s="27"/>
      <c r="C50" s="13">
        <v>2530</v>
      </c>
      <c r="D50" s="14"/>
    </row>
    <row r="51" ht="20.05" customHeight="1">
      <c r="B51" s="27"/>
      <c r="C51" s="13">
        <v>5900</v>
      </c>
      <c r="D51" s="14"/>
    </row>
    <row r="52" ht="20.05" customHeight="1">
      <c r="B52" s="30">
        <v>2018</v>
      </c>
      <c r="C52" s="13">
        <v>5500</v>
      </c>
      <c r="D52" s="14"/>
    </row>
    <row r="53" ht="20.05" customHeight="1">
      <c r="B53" s="27"/>
      <c r="C53" s="13">
        <v>4410</v>
      </c>
      <c r="D53" s="14"/>
    </row>
    <row r="54" ht="20.05" customHeight="1">
      <c r="B54" s="27"/>
      <c r="C54" s="13">
        <v>5700</v>
      </c>
      <c r="D54" s="14"/>
    </row>
    <row r="55" ht="20.05" customHeight="1">
      <c r="B55" s="27"/>
      <c r="C55" s="13">
        <v>5700</v>
      </c>
      <c r="D55" s="14"/>
    </row>
    <row r="56" ht="20.05" customHeight="1">
      <c r="B56" s="27"/>
      <c r="C56" s="13">
        <v>3810</v>
      </c>
      <c r="D56" s="14"/>
    </row>
    <row r="57" ht="20.05" customHeight="1">
      <c r="B57" s="27"/>
      <c r="C57" s="13">
        <v>3900</v>
      </c>
      <c r="D57" s="14"/>
    </row>
    <row r="58" ht="20.05" customHeight="1">
      <c r="B58" s="27"/>
      <c r="C58" s="13">
        <v>3100</v>
      </c>
      <c r="D58" s="14"/>
    </row>
    <row r="59" ht="20.05" customHeight="1">
      <c r="B59" s="27"/>
      <c r="C59" s="13">
        <v>3000</v>
      </c>
      <c r="D59" s="14"/>
    </row>
    <row r="60" ht="20.05" customHeight="1">
      <c r="B60" s="27"/>
      <c r="C60" s="13">
        <v>5900</v>
      </c>
      <c r="D60" s="14"/>
    </row>
    <row r="61" ht="20.05" customHeight="1">
      <c r="B61" s="27"/>
      <c r="C61" s="13">
        <v>3900</v>
      </c>
      <c r="D61" s="14"/>
    </row>
    <row r="62" ht="20.05" customHeight="1">
      <c r="B62" s="27"/>
      <c r="C62" s="13">
        <v>4400</v>
      </c>
      <c r="D62" s="14"/>
    </row>
    <row r="63" ht="20.05" customHeight="1">
      <c r="B63" s="27"/>
      <c r="C63" s="13">
        <v>6500</v>
      </c>
      <c r="D63" s="14"/>
    </row>
    <row r="64" ht="20.05" customHeight="1">
      <c r="B64" s="30">
        <v>2019</v>
      </c>
      <c r="C64" s="13">
        <v>4990</v>
      </c>
      <c r="D64" s="14"/>
    </row>
    <row r="65" ht="20.05" customHeight="1">
      <c r="B65" s="27"/>
      <c r="C65" s="13">
        <v>4750</v>
      </c>
      <c r="D65" s="14"/>
    </row>
    <row r="66" ht="20.05" customHeight="1">
      <c r="B66" s="27"/>
      <c r="C66" s="13">
        <v>4500</v>
      </c>
      <c r="D66" s="14"/>
    </row>
    <row r="67" ht="20.05" customHeight="1">
      <c r="B67" s="27"/>
      <c r="C67" s="13">
        <v>3900</v>
      </c>
      <c r="D67" s="14"/>
    </row>
    <row r="68" ht="20.05" customHeight="1">
      <c r="B68" s="27"/>
      <c r="C68" s="13">
        <v>3500</v>
      </c>
      <c r="D68" s="14"/>
    </row>
    <row r="69" ht="20.05" customHeight="1">
      <c r="B69" s="27"/>
      <c r="C69" s="13">
        <v>2280</v>
      </c>
      <c r="D69" s="14"/>
    </row>
    <row r="70" ht="20.05" customHeight="1">
      <c r="B70" s="27"/>
      <c r="C70" s="13">
        <v>2200</v>
      </c>
      <c r="D70" s="14"/>
    </row>
    <row r="71" ht="20.05" customHeight="1">
      <c r="B71" s="27"/>
      <c r="C71" s="13">
        <v>2000</v>
      </c>
      <c r="D71" s="14"/>
    </row>
    <row r="72" ht="20.05" customHeight="1">
      <c r="B72" s="27"/>
      <c r="C72" s="13">
        <v>1505</v>
      </c>
      <c r="D72" s="14"/>
    </row>
    <row r="73" ht="20.05" customHeight="1">
      <c r="B73" s="27"/>
      <c r="C73" s="13">
        <v>1115</v>
      </c>
      <c r="D73" s="20"/>
    </row>
    <row r="74" ht="20.05" customHeight="1">
      <c r="B74" s="27"/>
      <c r="C74" s="13">
        <v>680</v>
      </c>
      <c r="D74" s="20"/>
    </row>
    <row r="75" ht="20.05" customHeight="1">
      <c r="B75" s="27"/>
      <c r="C75" s="13">
        <v>870</v>
      </c>
      <c r="D75" s="20"/>
    </row>
    <row r="76" ht="20.05" customHeight="1">
      <c r="B76" s="30">
        <v>2020</v>
      </c>
      <c r="C76" s="13">
        <v>840</v>
      </c>
      <c r="D76" s="20"/>
    </row>
    <row r="77" ht="20.05" customHeight="1">
      <c r="B77" s="27"/>
      <c r="C77" s="13">
        <v>448</v>
      </c>
      <c r="D77" s="20"/>
    </row>
    <row r="78" ht="20.05" customHeight="1">
      <c r="B78" s="27"/>
      <c r="C78" s="13">
        <v>1080</v>
      </c>
      <c r="D78" s="20"/>
    </row>
    <row r="79" ht="20.05" customHeight="1">
      <c r="B79" s="27"/>
      <c r="C79" s="13">
        <v>1110</v>
      </c>
      <c r="D79" s="14">
        <v>1419.664268585130</v>
      </c>
    </row>
    <row r="80" ht="20.05" customHeight="1">
      <c r="B80" s="27"/>
      <c r="C80" s="13">
        <v>1010</v>
      </c>
      <c r="D80" s="14">
        <v>1419.664268585130</v>
      </c>
    </row>
    <row r="81" ht="20.05" customHeight="1">
      <c r="B81" s="27"/>
      <c r="C81" s="13">
        <v>985</v>
      </c>
      <c r="D81" s="14">
        <v>1419.664268585130</v>
      </c>
    </row>
    <row r="82" ht="20.05" customHeight="1">
      <c r="B82" s="27"/>
      <c r="C82" s="13">
        <v>2280</v>
      </c>
      <c r="D82" s="14">
        <v>1641.106442250220</v>
      </c>
    </row>
    <row r="83" ht="20.05" customHeight="1">
      <c r="B83" s="27"/>
      <c r="C83" s="13">
        <v>3060</v>
      </c>
      <c r="D83" s="14">
        <v>1641.106442250220</v>
      </c>
    </row>
    <row r="84" ht="20.05" customHeight="1">
      <c r="B84" s="27"/>
      <c r="C84" s="13">
        <v>2860</v>
      </c>
      <c r="D84" s="14">
        <v>1641.106442250220</v>
      </c>
    </row>
    <row r="85" ht="20.05" customHeight="1">
      <c r="B85" s="27"/>
      <c r="C85" s="13">
        <v>3140</v>
      </c>
      <c r="D85" s="14">
        <v>1005.082987050380</v>
      </c>
    </row>
    <row r="86" ht="20.05" customHeight="1">
      <c r="B86" s="27"/>
      <c r="C86" s="13">
        <v>3160</v>
      </c>
      <c r="D86" s="14">
        <v>1005.082987050380</v>
      </c>
    </row>
    <row r="87" ht="20.05" customHeight="1">
      <c r="B87" s="27"/>
      <c r="C87" s="13">
        <v>4030</v>
      </c>
      <c r="D87" s="14">
        <v>1005.082987050380</v>
      </c>
    </row>
    <row r="88" ht="20.05" customHeight="1">
      <c r="B88" s="30">
        <v>2021</v>
      </c>
      <c r="C88" s="13">
        <v>3000</v>
      </c>
      <c r="D88" s="14">
        <v>1005.082987050380</v>
      </c>
    </row>
    <row r="89" ht="20.05" customHeight="1">
      <c r="B89" s="27"/>
      <c r="C89" s="13">
        <v>3290</v>
      </c>
      <c r="D89" s="14">
        <v>1005.082987050380</v>
      </c>
    </row>
    <row r="90" ht="20.05" customHeight="1">
      <c r="B90" s="27"/>
      <c r="C90" s="13">
        <v>2460</v>
      </c>
      <c r="D90" s="14">
        <v>1005.082987050380</v>
      </c>
    </row>
    <row r="91" ht="20.05" customHeight="1">
      <c r="B91" s="27"/>
      <c r="C91" s="13">
        <v>2290</v>
      </c>
      <c r="D91" s="14">
        <v>1005.082987050380</v>
      </c>
    </row>
    <row r="92" ht="20.05" customHeight="1">
      <c r="B92" s="27"/>
      <c r="C92" s="13">
        <v>2280</v>
      </c>
      <c r="D92" s="14">
        <v>1655.285636322880</v>
      </c>
    </row>
    <row r="93" ht="20.05" customHeight="1">
      <c r="B93" s="27"/>
      <c r="C93" s="13">
        <v>3110</v>
      </c>
      <c r="D93" s="14">
        <v>1655.285636322880</v>
      </c>
    </row>
    <row r="94" ht="20.05" customHeight="1">
      <c r="B94" s="27"/>
      <c r="C94" s="13">
        <v>2650</v>
      </c>
      <c r="D94" s="14">
        <v>1655.285636322880</v>
      </c>
    </row>
    <row r="95" ht="20.05" customHeight="1">
      <c r="B95" s="27"/>
      <c r="C95" s="13">
        <v>2340</v>
      </c>
      <c r="D95" s="20"/>
    </row>
    <row r="96" ht="20.05" customHeight="1">
      <c r="B96" s="27"/>
      <c r="C96" s="13">
        <v>2330</v>
      </c>
      <c r="D96" s="20"/>
    </row>
    <row r="97" ht="20.05" customHeight="1">
      <c r="B97" s="27"/>
      <c r="C97" s="13">
        <v>2340</v>
      </c>
      <c r="D97" s="20"/>
    </row>
    <row r="98" ht="20.05" customHeight="1">
      <c r="B98" s="27"/>
      <c r="C98" s="13">
        <v>2410</v>
      </c>
      <c r="D98" s="14">
        <f>C98</f>
        <v>2410</v>
      </c>
    </row>
    <row r="99" ht="20.05" customHeight="1">
      <c r="B99" s="27"/>
      <c r="C99" s="13"/>
      <c r="D99" s="19">
        <f>'Model'!F42</f>
        <v>439.407675214638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