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<sst xmlns="http://schemas.openxmlformats.org/spreadsheetml/2006/main" uniqueCount="56">
  <si>
    <t>Financial model</t>
  </si>
  <si>
    <t>Rpbn</t>
  </si>
  <si>
    <t>4Q 2021</t>
  </si>
  <si>
    <t>Cash flow</t>
  </si>
  <si>
    <t>Growth</t>
  </si>
  <si>
    <t>Sales</t>
  </si>
  <si>
    <t>Cost ratio</t>
  </si>
  <si>
    <t xml:space="preserve">Cash cost </t>
  </si>
  <si>
    <t xml:space="preserve">Operating </t>
  </si>
  <si>
    <t xml:space="preserve">Investment </t>
  </si>
  <si>
    <t xml:space="preserve">Finance 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</si>
  <si>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</si>
  <si>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</si>
  <si>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</si>
  <si>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</si>
  <si>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</si>
  <si>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</si>
  <si>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</si>
  <si>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</si>
  <si>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>Non cash costs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</si>
  <si>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</si>
  <si>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</si>
  <si>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</si>
  <si>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</si>
  <si>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</si>
  <si>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</si>
  <si>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</si>
  <si>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debt </t>
  </si>
  <si>
    <t xml:space="preserve">Valuation </t>
  </si>
  <si>
    <t xml:space="preserve">Capital </t>
  </si>
  <si>
    <t xml:space="preserve">Current value </t>
  </si>
  <si>
    <t xml:space="preserve">P/assets </t>
  </si>
  <si>
    <t>Yield</t>
  </si>
  <si>
    <t>Cashflow</t>
  </si>
  <si>
    <t>Payback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</si>
  <si>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</si>
  <si>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</si>
  <si>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</si>
  <si>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</si>
  <si>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</si>
  <si>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</si>
  <si>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</si>
  <si>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</si>
  <si>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FX</t>
  </si>
  <si>
    <t xml:space="preserve">Profit </t>
  </si>
  <si>
    <t xml:space="preserve">Sales growth </t>
  </si>
  <si>
    <t>Cashflow costs</t>
  </si>
  <si>
    <t>Receipts</t>
  </si>
  <si>
    <t>PPE</t>
  </si>
  <si>
    <t>Leases</t>
  </si>
  <si>
    <t>Finance</t>
  </si>
  <si>
    <t xml:space="preserve">Free cashflow </t>
  </si>
  <si>
    <t>Cash</t>
  </si>
  <si>
    <t>Assets</t>
  </si>
  <si>
    <t>Net cash</t>
  </si>
  <si>
    <t>ICBP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</si>
</sst>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0.0%"/>
    <numFmt numFmtId="61" formatCode="#,##0%_);[Red]\(#,##0%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607964</xdr:colOff>
      <xdr:row>1</xdr:row>
      <xdr:rowOff>281740</xdr:rowOff>
    </xdr:from>
    <xdr:to>
      <xdr:col>13</xdr:col>
      <xdr:colOff>382971</xdr:colOff>
      <xdr:row>44</xdr:row>
      <xdr:rowOff>250732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13264" y="481130"/>
          <a:ext cx="8487208" cy="110198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48438" style="1" customWidth="1"/>
    <col min="2" max="2" width="15.6172" style="1" customWidth="1"/>
    <col min="3" max="6" width="9.35156" style="1" customWidth="1"/>
    <col min="7" max="16384" width="16.3516" style="1" customWidth="1"/>
  </cols>
  <sheetData>
    <row r="1" ht="15.7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AVERAGE('Sales'!I27:I30)</f>
        <v>0.0819223887070943</v>
      </c>
      <c r="D4" s="8"/>
      <c r="E4" s="8"/>
      <c r="F4" s="9">
        <f>AVERAGE(C5:F5)</f>
        <v>0.04</v>
      </c>
    </row>
    <row r="5" ht="20.05" customHeight="1">
      <c r="B5" t="s" s="10">
        <v>4</v>
      </c>
      <c r="C5" s="11">
        <v>0.1</v>
      </c>
      <c r="D5" s="12">
        <v>-0.02</v>
      </c>
      <c r="E5" s="12">
        <v>0.04</v>
      </c>
      <c r="F5" s="12">
        <v>0.04</v>
      </c>
    </row>
    <row r="6" ht="20.05" customHeight="1">
      <c r="B6" t="s" s="10">
        <v>5</v>
      </c>
      <c r="C6" s="13">
        <f>'Sales'!C30*(1+C5)</f>
        <v>15865.19</v>
      </c>
      <c r="D6" s="14">
        <f>C6*(1+D5)</f>
        <v>15547.8862</v>
      </c>
      <c r="E6" s="14">
        <f>D6*(1+E5)</f>
        <v>16169.801648</v>
      </c>
      <c r="F6" s="14">
        <f>E6*(1+F5)</f>
        <v>16816.59371392</v>
      </c>
    </row>
    <row r="7" ht="20.05" customHeight="1">
      <c r="B7" t="s" s="10">
        <v>6</v>
      </c>
      <c r="C7" s="15">
        <f>AVERAGE('Sales'!K30)</f>
        <v>-0.837206269865385</v>
      </c>
      <c r="D7" s="16">
        <f>C7</f>
        <v>-0.837206269865385</v>
      </c>
      <c r="E7" s="16">
        <f>D7</f>
        <v>-0.837206269865385</v>
      </c>
      <c r="F7" s="16">
        <f>E7</f>
        <v>-0.837206269865385</v>
      </c>
    </row>
    <row r="8" ht="20.05" customHeight="1">
      <c r="B8" t="s" s="10">
        <v>7</v>
      </c>
      <c r="C8" s="17">
        <f>C7*C6</f>
        <v>-13282.4365406056</v>
      </c>
      <c r="D8" s="18">
        <f>D7*D6</f>
        <v>-13016.7878097935</v>
      </c>
      <c r="E8" s="18">
        <f>E7*E6</f>
        <v>-13537.4593221852</v>
      </c>
      <c r="F8" s="18">
        <f>F7*F6</f>
        <v>-14078.9576950726</v>
      </c>
    </row>
    <row r="9" ht="20.05" customHeight="1">
      <c r="B9" t="s" s="10">
        <v>8</v>
      </c>
      <c r="C9" s="17">
        <f>C6+C8</f>
        <v>2582.7534593944</v>
      </c>
      <c r="D9" s="18">
        <f>D6+D8</f>
        <v>2531.0983902065</v>
      </c>
      <c r="E9" s="18">
        <f>E6+E8</f>
        <v>2632.3423258148</v>
      </c>
      <c r="F9" s="18">
        <f>F6+F8</f>
        <v>2737.6360188474</v>
      </c>
    </row>
    <row r="10" ht="20.05" customHeight="1">
      <c r="B10" t="s" s="10">
        <v>9</v>
      </c>
      <c r="C10" s="17">
        <f>AVERAGE('Cashflow'!F30)</f>
        <v>-570.8</v>
      </c>
      <c r="D10" s="18">
        <f>C10</f>
        <v>-570.8</v>
      </c>
      <c r="E10" s="18">
        <f>D10</f>
        <v>-570.8</v>
      </c>
      <c r="F10" s="18">
        <f>E10</f>
        <v>-570.8</v>
      </c>
    </row>
    <row r="11" ht="20.05" customHeight="1">
      <c r="B11" t="s" s="10">
        <v>10</v>
      </c>
      <c r="C11" s="17">
        <f>C12+C13+C15</f>
        <v>-2011.9534593944</v>
      </c>
      <c r="D11" s="18">
        <f>D12+D13+D15</f>
        <v>-1960.2983902065</v>
      </c>
      <c r="E11" s="18">
        <f>E12+E13+E15</f>
        <v>-2061.5423258148</v>
      </c>
      <c r="F11" s="18">
        <f>F12+F13+F15</f>
        <v>-2166.8360188474</v>
      </c>
    </row>
    <row r="12" ht="20.05" customHeight="1">
      <c r="B12" t="s" s="10">
        <v>11</v>
      </c>
      <c r="C12" s="17">
        <f>-('Balance sheet'!G26)/20</f>
        <v>-2723</v>
      </c>
      <c r="D12" s="18">
        <f>-C26/20</f>
        <v>-2586.85</v>
      </c>
      <c r="E12" s="18">
        <f>-D26/20</f>
        <v>-2457.5075</v>
      </c>
      <c r="F12" s="18">
        <f>-E26/20</f>
        <v>-2334.632125</v>
      </c>
    </row>
    <row r="13" ht="20.05" customHeight="1">
      <c r="B13" t="s" s="10">
        <v>12</v>
      </c>
      <c r="C13" s="17">
        <f>IF(C21&gt;0,-C21*0.3,0)</f>
        <v>-619.246037818320</v>
      </c>
      <c r="D13" s="18">
        <f>IF(D21&gt;0,-D21*0.3,0)</f>
        <v>-603.749517061950</v>
      </c>
      <c r="E13" s="18">
        <f>IF(E21&gt;0,-E21*0.3,0)</f>
        <v>-634.122697744440</v>
      </c>
      <c r="F13" s="18">
        <f>IF(F21&gt;0,-F21*0.3,0)</f>
        <v>-665.7108056542201</v>
      </c>
    </row>
    <row r="14" ht="20.05" customHeight="1">
      <c r="B14" t="s" s="10">
        <v>13</v>
      </c>
      <c r="C14" s="17">
        <f>C9+C10+C12+C13</f>
        <v>-1330.292578423920</v>
      </c>
      <c r="D14" s="18">
        <f>D9+D10+D12+D13</f>
        <v>-1230.301126855450</v>
      </c>
      <c r="E14" s="18">
        <f>E9+E10+E12+E13</f>
        <v>-1030.087871929640</v>
      </c>
      <c r="F14" s="18">
        <f>F9+F10+F12+F13</f>
        <v>-833.506911806820</v>
      </c>
    </row>
    <row r="15" ht="20.05" customHeight="1">
      <c r="B15" t="s" s="10">
        <v>14</v>
      </c>
      <c r="C15" s="17">
        <f>-MIN(0,C14)</f>
        <v>1330.292578423920</v>
      </c>
      <c r="D15" s="18">
        <f>-MIN(C27,D14)</f>
        <v>1230.301126855450</v>
      </c>
      <c r="E15" s="18">
        <f>-MIN(D27,E14)</f>
        <v>1030.087871929640</v>
      </c>
      <c r="F15" s="18">
        <f>-MIN(E27,F14)</f>
        <v>833.506911806820</v>
      </c>
    </row>
    <row r="16" ht="20.05" customHeight="1">
      <c r="B16" t="s" s="10">
        <v>15</v>
      </c>
      <c r="C16" s="17">
        <f>'Balance sheet'!C26</f>
        <v>9222</v>
      </c>
      <c r="D16" s="18">
        <f>C18</f>
        <v>9222</v>
      </c>
      <c r="E16" s="18">
        <f>D18</f>
        <v>9222</v>
      </c>
      <c r="F16" s="18">
        <f>E18</f>
        <v>9222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9222</v>
      </c>
      <c r="D18" s="18">
        <f>D16+D17</f>
        <v>9222</v>
      </c>
      <c r="E18" s="18">
        <f>E16+E17</f>
        <v>9222</v>
      </c>
      <c r="F18" s="18">
        <f>F16+F17</f>
        <v>9222</v>
      </c>
    </row>
    <row r="19" ht="20.05" customHeight="1">
      <c r="B19" t="s" s="19">
        <v>18</v>
      </c>
      <c r="C19" s="20"/>
      <c r="D19" s="21"/>
      <c r="E19" s="18"/>
      <c r="F19" s="22"/>
    </row>
    <row r="20" ht="20.05" customHeight="1">
      <c r="B20" t="s" s="10">
        <v>19</v>
      </c>
      <c r="C20" s="17">
        <f>-AVERAGE('Sales'!E30)</f>
        <v>-518.6</v>
      </c>
      <c r="D20" s="18">
        <f>C20</f>
        <v>-518.6</v>
      </c>
      <c r="E20" s="18">
        <f>D20</f>
        <v>-518.6</v>
      </c>
      <c r="F20" s="18">
        <f>E20</f>
        <v>-518.6</v>
      </c>
    </row>
    <row r="21" ht="20.05" customHeight="1">
      <c r="B21" t="s" s="10">
        <v>20</v>
      </c>
      <c r="C21" s="17">
        <f>C6+C8+C20</f>
        <v>2064.1534593944</v>
      </c>
      <c r="D21" s="18">
        <f>D6+D8+D20</f>
        <v>2012.4983902065</v>
      </c>
      <c r="E21" s="18">
        <f>E6+E8+E20</f>
        <v>2113.7423258148</v>
      </c>
      <c r="F21" s="18">
        <f>F6+F8+F20</f>
        <v>2219.0360188474</v>
      </c>
    </row>
    <row r="22" ht="20.05" customHeight="1">
      <c r="B22" t="s" s="19">
        <v>21</v>
      </c>
      <c r="C22" s="20"/>
      <c r="D22" s="21"/>
      <c r="E22" s="18"/>
      <c r="F22" s="18"/>
    </row>
    <row r="23" ht="20.05" customHeight="1">
      <c r="B23" t="s" s="10">
        <v>22</v>
      </c>
      <c r="C23" s="17">
        <f>'Balance sheet'!E26+'Balance sheet'!F26-C10</f>
        <v>108993.8</v>
      </c>
      <c r="D23" s="18">
        <f>C23-D10</f>
        <v>109564.6</v>
      </c>
      <c r="E23" s="18">
        <f>D23-E10</f>
        <v>110135.4</v>
      </c>
      <c r="F23" s="18">
        <f>E23-F10</f>
        <v>110706.2</v>
      </c>
    </row>
    <row r="24" ht="20.05" customHeight="1">
      <c r="B24" t="s" s="10">
        <v>23</v>
      </c>
      <c r="C24" s="17">
        <f>'Balance sheet'!F26-C20</f>
        <v>10856.6</v>
      </c>
      <c r="D24" s="18">
        <f>C24-D20</f>
        <v>11375.2</v>
      </c>
      <c r="E24" s="18">
        <f>D24-E20</f>
        <v>11893.8</v>
      </c>
      <c r="F24" s="18">
        <f>E24-F20</f>
        <v>12412.4</v>
      </c>
    </row>
    <row r="25" ht="20.05" customHeight="1">
      <c r="B25" t="s" s="10">
        <v>24</v>
      </c>
      <c r="C25" s="17">
        <f>C23-C24</f>
        <v>98137.2</v>
      </c>
      <c r="D25" s="18">
        <f>D23-D24</f>
        <v>98189.399999999994</v>
      </c>
      <c r="E25" s="18">
        <f>E23-E24</f>
        <v>98241.600000000006</v>
      </c>
      <c r="F25" s="18">
        <f>F23-F24</f>
        <v>98293.8</v>
      </c>
    </row>
    <row r="26" ht="20.05" customHeight="1">
      <c r="B26" t="s" s="10">
        <v>11</v>
      </c>
      <c r="C26" s="17">
        <f>'Balance sheet'!G26+C12</f>
        <v>51737</v>
      </c>
      <c r="D26" s="18">
        <f>C26+D12</f>
        <v>49150.15</v>
      </c>
      <c r="E26" s="18">
        <f>D26+E12</f>
        <v>46692.6425</v>
      </c>
      <c r="F26" s="18">
        <f>E26+F12</f>
        <v>44358.010375</v>
      </c>
    </row>
    <row r="27" ht="20.05" customHeight="1">
      <c r="B27" t="s" s="10">
        <v>14</v>
      </c>
      <c r="C27" s="17">
        <f>C15</f>
        <v>1330.292578423920</v>
      </c>
      <c r="D27" s="18">
        <f>C27+D15</f>
        <v>2560.593705279370</v>
      </c>
      <c r="E27" s="18">
        <f>D27+E15</f>
        <v>3590.681577209010</v>
      </c>
      <c r="F27" s="18">
        <f>E27+F15</f>
        <v>4424.188489015830</v>
      </c>
    </row>
    <row r="28" ht="20.05" customHeight="1">
      <c r="B28" t="s" s="10">
        <v>25</v>
      </c>
      <c r="C28" s="17">
        <f>'Balance sheet'!H26+C21+C13</f>
        <v>54291.9074215761</v>
      </c>
      <c r="D28" s="18">
        <f>C28+D21+D13</f>
        <v>55700.6562947207</v>
      </c>
      <c r="E28" s="18">
        <f>D28+E21+E13</f>
        <v>57180.2759227911</v>
      </c>
      <c r="F28" s="18">
        <f>E28+F21+F13</f>
        <v>58733.6011359843</v>
      </c>
    </row>
    <row r="29" ht="20.05" customHeight="1">
      <c r="B29" t="s" s="10">
        <v>26</v>
      </c>
      <c r="C29" s="17">
        <f>C26+C27+C28-C18-C25</f>
        <v>2e-11</v>
      </c>
      <c r="D29" s="18">
        <f>D26+D27+D28-D18-D25</f>
        <v>7e-11</v>
      </c>
      <c r="E29" s="18">
        <f>E26+E27+E28-E18-E25</f>
        <v>1.1e-10</v>
      </c>
      <c r="F29" s="18">
        <f>F26+F27+F28-F18-F25</f>
        <v>1.3e-10</v>
      </c>
    </row>
    <row r="30" ht="20.05" customHeight="1">
      <c r="B30" t="s" s="10">
        <v>27</v>
      </c>
      <c r="C30" s="17">
        <f>C18-C26-C27</f>
        <v>-43845.2925784239</v>
      </c>
      <c r="D30" s="18">
        <f>D18-D26-D27</f>
        <v>-42488.7437052794</v>
      </c>
      <c r="E30" s="18">
        <f>E18-E26-E27</f>
        <v>-41061.324077209</v>
      </c>
      <c r="F30" s="18">
        <f>F18-F26-F27</f>
        <v>-39560.1988640158</v>
      </c>
    </row>
    <row r="31" ht="20.05" customHeight="1">
      <c r="B31" t="s" s="19">
        <v>28</v>
      </c>
      <c r="C31" s="17"/>
      <c r="D31" s="18"/>
      <c r="E31" s="18"/>
      <c r="F31" s="18"/>
    </row>
    <row r="32" ht="20.05" customHeight="1">
      <c r="B32" t="s" s="10">
        <v>29</v>
      </c>
      <c r="C32" s="17">
        <f>'Cashflow'!M30-C11</f>
        <v>-10918.0095406056</v>
      </c>
      <c r="D32" s="18">
        <f>C32-D11</f>
        <v>-8957.7111503991</v>
      </c>
      <c r="E32" s="18">
        <f>D32-E11</f>
        <v>-6896.1688245843</v>
      </c>
      <c r="F32" s="18">
        <f>E32-F11</f>
        <v>-4729.3328057369</v>
      </c>
    </row>
    <row r="33" ht="20.05" customHeight="1">
      <c r="B33" t="s" s="10">
        <v>30</v>
      </c>
      <c r="C33" s="17"/>
      <c r="D33" s="18"/>
      <c r="E33" s="18"/>
      <c r="F33" s="18">
        <v>104100</v>
      </c>
    </row>
    <row r="34" ht="20.05" customHeight="1">
      <c r="B34" t="s" s="10">
        <v>31</v>
      </c>
      <c r="C34" s="17"/>
      <c r="D34" s="18"/>
      <c r="E34" s="18"/>
      <c r="F34" s="23">
        <f>F33/(F18+F25)</f>
        <v>0.968229785761721</v>
      </c>
    </row>
    <row r="35" ht="20.05" customHeight="1">
      <c r="B35" t="s" s="10">
        <v>32</v>
      </c>
      <c r="C35" s="17"/>
      <c r="D35" s="18"/>
      <c r="E35" s="18"/>
      <c r="F35" s="16">
        <f>-(C13+D13+E13+F13)/F33</f>
        <v>0.0242346691477323</v>
      </c>
    </row>
    <row r="36" ht="20.05" customHeight="1">
      <c r="B36" t="s" s="10">
        <v>33</v>
      </c>
      <c r="C36" s="17"/>
      <c r="D36" s="18"/>
      <c r="E36" s="18"/>
      <c r="F36" s="18">
        <f>SUM(C9:F10)</f>
        <v>8200.6301942631</v>
      </c>
    </row>
    <row r="37" ht="20.05" customHeight="1">
      <c r="B37" t="s" s="10">
        <v>34</v>
      </c>
      <c r="C37" s="17"/>
      <c r="D37" s="18"/>
      <c r="E37" s="18"/>
      <c r="F37" s="18">
        <f>'Balance sheet'!E26/F36</f>
        <v>11.9606661532692</v>
      </c>
    </row>
    <row r="38" ht="20.05" customHeight="1">
      <c r="B38" t="s" s="10">
        <v>28</v>
      </c>
      <c r="C38" s="17"/>
      <c r="D38" s="18"/>
      <c r="E38" s="18"/>
      <c r="F38" s="18">
        <f>F33/F36</f>
        <v>12.6941463685102</v>
      </c>
    </row>
    <row r="39" ht="20.05" customHeight="1">
      <c r="B39" t="s" s="10">
        <v>35</v>
      </c>
      <c r="C39" s="17"/>
      <c r="D39" s="18"/>
      <c r="E39" s="18"/>
      <c r="F39" s="18">
        <v>16</v>
      </c>
    </row>
    <row r="40" ht="20.05" customHeight="1">
      <c r="B40" t="s" s="10">
        <v>36</v>
      </c>
      <c r="C40" s="17"/>
      <c r="D40" s="18"/>
      <c r="E40" s="18"/>
      <c r="F40" s="18">
        <f>F36*F39</f>
        <v>131210.08310821</v>
      </c>
    </row>
    <row r="41" ht="20.05" customHeight="1">
      <c r="B41" t="s" s="10">
        <v>37</v>
      </c>
      <c r="C41" s="17"/>
      <c r="D41" s="18"/>
      <c r="E41" s="18"/>
      <c r="F41" s="18">
        <f>F33/F43</f>
        <v>11.6638655462185</v>
      </c>
    </row>
    <row r="42" ht="20.05" customHeight="1">
      <c r="B42" t="s" s="10">
        <v>38</v>
      </c>
      <c r="C42" s="17"/>
      <c r="D42" s="18"/>
      <c r="E42" s="18"/>
      <c r="F42" s="18">
        <f>F40/F41</f>
        <v>11249.2794595655</v>
      </c>
    </row>
    <row r="43" ht="20.05" customHeight="1">
      <c r="B43" t="s" s="10">
        <v>39</v>
      </c>
      <c r="C43" s="17"/>
      <c r="D43" s="18"/>
      <c r="E43" s="18"/>
      <c r="F43" s="18">
        <f>'Share price'!C19</f>
        <v>8925</v>
      </c>
    </row>
    <row r="44" ht="20.05" customHeight="1">
      <c r="B44" t="s" s="10">
        <v>40</v>
      </c>
      <c r="C44" s="17"/>
      <c r="D44" s="18"/>
      <c r="E44" s="18"/>
      <c r="F44" s="16">
        <f>F42/F43-1</f>
        <v>0.26042346885888</v>
      </c>
    </row>
    <row r="45" ht="20.05" customHeight="1">
      <c r="B45" t="s" s="10">
        <v>41</v>
      </c>
      <c r="C45" s="17"/>
      <c r="D45" s="18"/>
      <c r="E45" s="18"/>
      <c r="F45" s="16">
        <f>'Sales'!C30/'Sales'!C26-1</f>
        <v>0.329299539170507</v>
      </c>
    </row>
    <row r="46" ht="20.05" customHeight="1">
      <c r="B46" t="s" s="10">
        <v>42</v>
      </c>
      <c r="C46" s="17"/>
      <c r="D46" s="18"/>
      <c r="E46" s="18"/>
      <c r="F46" s="16">
        <f>('Sales'!D23+'Sales'!D30+'Sales'!D24+'Sales'!D25+'Sales'!D26+'Sales'!D27+'Sales'!D28+'Sales'!D29)/('Sales'!C23+'Sales'!C24+'Sales'!C25+'Sales'!C26+'Sales'!C27+'Sales'!C28+'Sales'!C30+'Sales'!C29)-1</f>
        <v>-0.0209914042725524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7188" style="24" customWidth="1"/>
    <col min="2" max="2" width="10.3984" style="24" customWidth="1"/>
    <col min="3" max="12" width="9.73438" style="24" customWidth="1"/>
    <col min="13" max="16384" width="16.3516" style="24" customWidth="1"/>
  </cols>
  <sheetData>
    <row r="1" ht="24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5</v>
      </c>
      <c r="D3" t="s" s="4">
        <v>35</v>
      </c>
      <c r="E3" t="s" s="4">
        <v>23</v>
      </c>
      <c r="F3" t="s" s="4">
        <v>43</v>
      </c>
      <c r="G3" t="s" s="4">
        <v>44</v>
      </c>
      <c r="H3" t="s" s="4">
        <v>44</v>
      </c>
      <c r="I3" t="s" s="4">
        <v>45</v>
      </c>
      <c r="J3" t="s" s="4">
        <v>6</v>
      </c>
      <c r="K3" t="s" s="4">
        <v>46</v>
      </c>
      <c r="L3" t="s" s="4">
        <v>46</v>
      </c>
    </row>
    <row r="4" ht="20.25" customHeight="1">
      <c r="B4" s="25">
        <v>2015</v>
      </c>
      <c r="C4" s="26">
        <v>7968</v>
      </c>
      <c r="D4" s="8"/>
      <c r="E4" s="27">
        <v>163</v>
      </c>
      <c r="F4" s="27"/>
      <c r="G4" s="27">
        <v>706.6</v>
      </c>
      <c r="H4" s="9"/>
      <c r="I4" s="9"/>
      <c r="J4" s="28">
        <f>(E4+G4-C4)/C4</f>
        <v>-0.890863453815261</v>
      </c>
      <c r="K4" s="28"/>
      <c r="L4" s="28"/>
    </row>
    <row r="5" ht="20.05" customHeight="1">
      <c r="B5" s="29"/>
      <c r="C5" s="13">
        <v>8583</v>
      </c>
      <c r="D5" s="22"/>
      <c r="E5" s="14">
        <v>170</v>
      </c>
      <c r="F5" s="14"/>
      <c r="G5" s="14">
        <v>965.4</v>
      </c>
      <c r="H5" s="16"/>
      <c r="I5" s="16">
        <f>C5/C4-1</f>
        <v>0.077183734939759</v>
      </c>
      <c r="J5" s="16">
        <f>(E5+G5-C5)/C5</f>
        <v>-0.867715251077712</v>
      </c>
      <c r="K5" s="16"/>
      <c r="L5" s="16"/>
    </row>
    <row r="6" ht="20.05" customHeight="1">
      <c r="B6" s="29"/>
      <c r="C6" s="13">
        <v>7544.7</v>
      </c>
      <c r="D6" s="22"/>
      <c r="E6" s="14">
        <v>170</v>
      </c>
      <c r="F6" s="14"/>
      <c r="G6" s="14">
        <v>654.7</v>
      </c>
      <c r="H6" s="16"/>
      <c r="I6" s="16">
        <f>C6/C5-1</f>
        <v>-0.120971688220902</v>
      </c>
      <c r="J6" s="16">
        <f>(E6+G6-C6)/C6</f>
        <v>-0.890691478786433</v>
      </c>
      <c r="K6" s="16"/>
      <c r="L6" s="16"/>
    </row>
    <row r="7" ht="20.05" customHeight="1">
      <c r="B7" s="29"/>
      <c r="C7" s="13">
        <v>7645.3</v>
      </c>
      <c r="D7" s="22"/>
      <c r="E7" s="14">
        <v>179</v>
      </c>
      <c r="F7" s="14"/>
      <c r="G7" s="14">
        <v>596.3</v>
      </c>
      <c r="H7" s="18">
        <f>AVERAGE(G4:G7)</f>
        <v>730.75</v>
      </c>
      <c r="I7" s="16">
        <f>C7/C6-1</f>
        <v>0.0133338635068326</v>
      </c>
      <c r="J7" s="16">
        <f>(E7+G7-C7)/C7</f>
        <v>-0.898591291381633</v>
      </c>
      <c r="K7" s="12"/>
      <c r="L7" s="16"/>
    </row>
    <row r="8" ht="20.05" customHeight="1">
      <c r="B8" s="30">
        <v>2016</v>
      </c>
      <c r="C8" s="13">
        <v>8922</v>
      </c>
      <c r="D8" s="22"/>
      <c r="E8" s="14">
        <v>179</v>
      </c>
      <c r="F8" s="14"/>
      <c r="G8" s="14">
        <v>998.6</v>
      </c>
      <c r="H8" s="18">
        <f>AVERAGE(G5:G8)</f>
        <v>803.75</v>
      </c>
      <c r="I8" s="16">
        <f>C8/C7-1</f>
        <v>0.166991484964619</v>
      </c>
      <c r="J8" s="16">
        <f>(E8+G8-C8)/C8</f>
        <v>-0.868011656579242</v>
      </c>
      <c r="K8" s="16"/>
      <c r="L8" s="16">
        <f>('Cashflow'!E8-'Cashflow'!C8)/'Cashflow'!C8</f>
        <v>-0.877581295988607</v>
      </c>
    </row>
    <row r="9" ht="20.05" customHeight="1">
      <c r="B9" s="29"/>
      <c r="C9" s="13">
        <v>9253</v>
      </c>
      <c r="D9" s="22"/>
      <c r="E9" s="14">
        <v>180</v>
      </c>
      <c r="F9" s="14"/>
      <c r="G9" s="14">
        <v>1049.7</v>
      </c>
      <c r="H9" s="18">
        <f>AVERAGE(G6:G9)</f>
        <v>824.825</v>
      </c>
      <c r="I9" s="16">
        <f>C9/C8-1</f>
        <v>0.0370993050885452</v>
      </c>
      <c r="J9" s="16">
        <f>(E9+G9-C9)/C9</f>
        <v>-0.86710256133146</v>
      </c>
      <c r="K9" s="16"/>
      <c r="L9" s="16">
        <f>('Cashflow'!E9-'Cashflow'!C9)/'Cashflow'!C9</f>
        <v>-0.901923779374163</v>
      </c>
    </row>
    <row r="10" ht="20.05" customHeight="1">
      <c r="B10" s="29"/>
      <c r="C10" s="13">
        <v>8296.200000000001</v>
      </c>
      <c r="D10" s="22"/>
      <c r="E10" s="14">
        <v>183</v>
      </c>
      <c r="F10" s="14"/>
      <c r="G10" s="14">
        <v>903.1</v>
      </c>
      <c r="H10" s="18">
        <f>AVERAGE(G7:G10)</f>
        <v>886.925</v>
      </c>
      <c r="I10" s="16">
        <f>C10/C9-1</f>
        <v>-0.103404301307684</v>
      </c>
      <c r="J10" s="16">
        <f>(E10+G10-C10)/C10</f>
        <v>-0.869084641161013</v>
      </c>
      <c r="K10" s="16"/>
      <c r="L10" s="16">
        <f>('Cashflow'!E10-'Cashflow'!C10)/'Cashflow'!C10</f>
        <v>-0.911661419229838</v>
      </c>
    </row>
    <row r="11" ht="20.05" customHeight="1">
      <c r="B11" s="29"/>
      <c r="C11" s="13">
        <v>7994.8</v>
      </c>
      <c r="D11" s="22"/>
      <c r="E11" s="14">
        <v>361</v>
      </c>
      <c r="F11" s="14"/>
      <c r="G11" s="14">
        <v>679.6</v>
      </c>
      <c r="H11" s="18">
        <f>AVERAGE(G8:G11)</f>
        <v>907.75</v>
      </c>
      <c r="I11" s="16">
        <f>C11/C10-1</f>
        <v>-0.0363298859718907</v>
      </c>
      <c r="J11" s="16">
        <f>(E11+G11-C11)/C11</f>
        <v>-0.869840396257567</v>
      </c>
      <c r="K11" s="16"/>
      <c r="L11" s="16">
        <f>('Cashflow'!E11-'Cashflow'!C11)/'Cashflow'!C11</f>
        <v>-0.778392621870883</v>
      </c>
    </row>
    <row r="12" ht="20.05" customHeight="1">
      <c r="B12" s="30">
        <v>2017</v>
      </c>
      <c r="C12" s="13">
        <v>9458</v>
      </c>
      <c r="D12" s="22"/>
      <c r="E12" s="14">
        <v>198</v>
      </c>
      <c r="F12" s="14"/>
      <c r="G12" s="14">
        <v>1203</v>
      </c>
      <c r="H12" s="18">
        <f>AVERAGE(G9:G12)</f>
        <v>958.85</v>
      </c>
      <c r="I12" s="16">
        <f>C12/C11-1</f>
        <v>0.183018962325512</v>
      </c>
      <c r="J12" s="16">
        <f>(E12+G12-C12)/C12</f>
        <v>-0.8518714315923031</v>
      </c>
      <c r="K12" s="16">
        <f>AVERAGE(L9:L12)</f>
        <v>-0.875217000150679</v>
      </c>
      <c r="L12" s="16">
        <f>('Cashflow'!E12-'Cashflow'!C12)/'Cashflow'!C12</f>
        <v>-0.908890180127833</v>
      </c>
    </row>
    <row r="13" ht="20.05" customHeight="1">
      <c r="B13" s="29"/>
      <c r="C13" s="13">
        <v>9003</v>
      </c>
      <c r="D13" s="22"/>
      <c r="E13" s="14">
        <v>201</v>
      </c>
      <c r="F13" s="14"/>
      <c r="G13" s="14">
        <v>943</v>
      </c>
      <c r="H13" s="18">
        <f>AVERAGE(G10:G13)</f>
        <v>932.175</v>
      </c>
      <c r="I13" s="16">
        <f>C13/C12-1</f>
        <v>-0.0481074222880102</v>
      </c>
      <c r="J13" s="16">
        <f>(E13+G13-C13)/C13</f>
        <v>-0.872931245140509</v>
      </c>
      <c r="K13" s="16">
        <f>AVERAGE(L10:L13)</f>
        <v>-0.873815809908366</v>
      </c>
      <c r="L13" s="16">
        <f>('Cashflow'!E13-'Cashflow'!C13)/'Cashflow'!C13</f>
        <v>-0.896319018404908</v>
      </c>
    </row>
    <row r="14" ht="20.05" customHeight="1">
      <c r="B14" s="29"/>
      <c r="C14" s="13">
        <v>8969</v>
      </c>
      <c r="D14" s="22"/>
      <c r="E14" s="14">
        <v>203</v>
      </c>
      <c r="F14" s="14"/>
      <c r="G14" s="14">
        <v>914</v>
      </c>
      <c r="H14" s="18">
        <f>AVERAGE(G11:G14)</f>
        <v>934.9</v>
      </c>
      <c r="I14" s="16">
        <f>C14/C13-1</f>
        <v>-0.00377651893813173</v>
      </c>
      <c r="J14" s="16">
        <f>(E14+G14-C14)/C14</f>
        <v>-0.875459917493589</v>
      </c>
      <c r="K14" s="16">
        <f>AVERAGE(L11:L14)</f>
        <v>-0.84336349944769</v>
      </c>
      <c r="L14" s="16">
        <f>('Cashflow'!E14-'Cashflow'!C14)/'Cashflow'!C14</f>
        <v>-0.789852177387135</v>
      </c>
    </row>
    <row r="15" ht="20.05" customHeight="1">
      <c r="B15" s="29"/>
      <c r="C15" s="13">
        <v>8177</v>
      </c>
      <c r="D15" s="22"/>
      <c r="E15" s="14">
        <v>574</v>
      </c>
      <c r="F15" s="14"/>
      <c r="G15" s="14">
        <v>1599</v>
      </c>
      <c r="H15" s="18">
        <f>AVERAGE(G12:G15)</f>
        <v>1164.75</v>
      </c>
      <c r="I15" s="16">
        <f>C15/C14-1</f>
        <v>-0.0883041587690935</v>
      </c>
      <c r="J15" s="16">
        <f>(E15+G15-C15)/C15</f>
        <v>-0.734254616607558</v>
      </c>
      <c r="K15" s="16">
        <f>AVERAGE(L12:L15)</f>
        <v>-0.858045325894742</v>
      </c>
      <c r="L15" s="16">
        <f>('Cashflow'!E15-'Cashflow'!C15)/'Cashflow'!C15</f>
        <v>-0.837119927659093</v>
      </c>
    </row>
    <row r="16" ht="20.05" customHeight="1">
      <c r="B16" s="30">
        <v>2018</v>
      </c>
      <c r="C16" s="13">
        <v>9881</v>
      </c>
      <c r="D16" s="22"/>
      <c r="E16" s="14">
        <v>212</v>
      </c>
      <c r="F16" s="14"/>
      <c r="G16" s="14">
        <v>1203</v>
      </c>
      <c r="H16" s="18">
        <f>AVERAGE(G13:G16)</f>
        <v>1164.75</v>
      </c>
      <c r="I16" s="16">
        <f>C16/C15-1</f>
        <v>0.208389384859973</v>
      </c>
      <c r="J16" s="16">
        <f>(E16+G16-C16)/C16</f>
        <v>-0.856795870863273</v>
      </c>
      <c r="K16" s="16">
        <f>AVERAGE(L13:L16)</f>
        <v>-0.842549715638046</v>
      </c>
      <c r="L16" s="16">
        <f>('Cashflow'!E16-'Cashflow'!C16)/'Cashflow'!C16</f>
        <v>-0.846907739101048</v>
      </c>
    </row>
    <row r="17" ht="20.05" customHeight="1">
      <c r="B17" s="29"/>
      <c r="C17" s="13">
        <v>9578</v>
      </c>
      <c r="D17" s="22"/>
      <c r="E17" s="14">
        <v>237</v>
      </c>
      <c r="F17" s="14"/>
      <c r="G17" s="14">
        <v>1112</v>
      </c>
      <c r="H17" s="18">
        <f>AVERAGE(G14:G17)</f>
        <v>1207</v>
      </c>
      <c r="I17" s="16">
        <f>C17/C16-1</f>
        <v>-0.0306649124582532</v>
      </c>
      <c r="J17" s="16">
        <f>(E17+G17-C17)/C17</f>
        <v>-0.859156400083525</v>
      </c>
      <c r="K17" s="16">
        <f>AVERAGE(L14:L17)</f>
        <v>-0.840957745188083</v>
      </c>
      <c r="L17" s="16">
        <f>('Cashflow'!E17-'Cashflow'!C17)/'Cashflow'!C17</f>
        <v>-0.889951136605056</v>
      </c>
    </row>
    <row r="18" ht="20.05" customHeight="1">
      <c r="B18" s="29"/>
      <c r="C18" s="13">
        <v>10019</v>
      </c>
      <c r="D18" s="22"/>
      <c r="E18" s="14">
        <v>241</v>
      </c>
      <c r="F18" s="14"/>
      <c r="G18" s="14">
        <v>1239</v>
      </c>
      <c r="H18" s="18">
        <f>AVERAGE(G15:G18)</f>
        <v>1288.25</v>
      </c>
      <c r="I18" s="16">
        <f>C18/C17-1</f>
        <v>0.0460430152432658</v>
      </c>
      <c r="J18" s="16">
        <f>(E18+G18-C18)/C18</f>
        <v>-0.852280666733207</v>
      </c>
      <c r="K18" s="16">
        <f>AVERAGE(L15:L18)</f>
        <v>-0.863267757335747</v>
      </c>
      <c r="L18" s="16">
        <f>('Cashflow'!E18-'Cashflow'!C18)/'Cashflow'!C18</f>
        <v>-0.879092225977789</v>
      </c>
    </row>
    <row r="19" ht="20.05" customHeight="1">
      <c r="B19" s="29"/>
      <c r="C19" s="13">
        <v>8935</v>
      </c>
      <c r="D19" s="22"/>
      <c r="E19" s="14">
        <v>286</v>
      </c>
      <c r="F19" s="14"/>
      <c r="G19" s="14">
        <v>-11</v>
      </c>
      <c r="H19" s="18">
        <f>AVERAGE(G16:G19)</f>
        <v>885.75</v>
      </c>
      <c r="I19" s="16">
        <f>C19/C18-1</f>
        <v>-0.108194430581894</v>
      </c>
      <c r="J19" s="16">
        <f>(E19+G19-C19)/C19</f>
        <v>-0.969222160044768</v>
      </c>
      <c r="K19" s="16">
        <f>AVERAGE(L16:L19)</f>
        <v>-0.878746908299335</v>
      </c>
      <c r="L19" s="16">
        <f>('Cashflow'!E19-'Cashflow'!C19)/'Cashflow'!C19</f>
        <v>-0.899036531513448</v>
      </c>
    </row>
    <row r="20" ht="20.05" customHeight="1">
      <c r="B20" s="30">
        <v>2019</v>
      </c>
      <c r="C20" s="13">
        <v>11256</v>
      </c>
      <c r="D20" s="22"/>
      <c r="E20" s="14">
        <v>279</v>
      </c>
      <c r="F20" s="14"/>
      <c r="G20" s="14">
        <v>1419</v>
      </c>
      <c r="H20" s="18">
        <f>AVERAGE(G17:G20)</f>
        <v>939.75</v>
      </c>
      <c r="I20" s="16">
        <f>C20/C19-1</f>
        <v>0.25976496922216</v>
      </c>
      <c r="J20" s="16">
        <f>(E20+G20-C20)/C20</f>
        <v>-0.849147121535181</v>
      </c>
      <c r="K20" s="16">
        <f>AVERAGE(L17:L20)</f>
        <v>-0.8913441620478399</v>
      </c>
      <c r="L20" s="16">
        <f>('Cashflow'!E20-'Cashflow'!C20)/'Cashflow'!C20</f>
        <v>-0.897296754095066</v>
      </c>
    </row>
    <row r="21" ht="20.05" customHeight="1">
      <c r="B21" s="29"/>
      <c r="C21" s="13">
        <v>10874</v>
      </c>
      <c r="D21" s="22"/>
      <c r="E21" s="14">
        <v>309</v>
      </c>
      <c r="F21" s="14"/>
      <c r="G21" s="14">
        <v>1310</v>
      </c>
      <c r="H21" s="18">
        <f>AVERAGE(G18:G21)</f>
        <v>989.25</v>
      </c>
      <c r="I21" s="16">
        <f>C21/C20-1</f>
        <v>-0.0339374555792466</v>
      </c>
      <c r="J21" s="16">
        <f>(E21+G21-C21)/C21</f>
        <v>-0.851112745999632</v>
      </c>
      <c r="K21" s="16">
        <f>AVERAGE(L18:L21)</f>
        <v>-0.864428333616133</v>
      </c>
      <c r="L21" s="16">
        <f>('Cashflow'!E21-'Cashflow'!C21)/'Cashflow'!C21</f>
        <v>-0.782287822878229</v>
      </c>
    </row>
    <row r="22" ht="20.05" customHeight="1">
      <c r="B22" s="29"/>
      <c r="C22" s="13">
        <v>10660</v>
      </c>
      <c r="D22" s="22"/>
      <c r="E22" s="14">
        <v>269</v>
      </c>
      <c r="F22" s="14"/>
      <c r="G22" s="14">
        <v>1391</v>
      </c>
      <c r="H22" s="18">
        <f>AVERAGE(G19:G22)</f>
        <v>1027.25</v>
      </c>
      <c r="I22" s="16">
        <f>C22/C21-1</f>
        <v>-0.0196799705720066</v>
      </c>
      <c r="J22" s="16">
        <f>(E22+G22-C22)/C22</f>
        <v>-0.8442776735459659</v>
      </c>
      <c r="K22" s="16">
        <f>AVERAGE(L19:L22)</f>
        <v>-0.853513757496191</v>
      </c>
      <c r="L22" s="16">
        <f>('Cashflow'!E22-'Cashflow'!C22)/'Cashflow'!C22</f>
        <v>-0.835433921498019</v>
      </c>
    </row>
    <row r="23" ht="20.05" customHeight="1">
      <c r="B23" s="29"/>
      <c r="C23" s="13">
        <v>9507</v>
      </c>
      <c r="D23" s="14">
        <v>10096.55</v>
      </c>
      <c r="E23" s="14">
        <v>303</v>
      </c>
      <c r="F23" s="14"/>
      <c r="G23" s="14">
        <v>1240</v>
      </c>
      <c r="H23" s="18">
        <f>AVERAGE(G20:G23)</f>
        <v>1340</v>
      </c>
      <c r="I23" s="16">
        <f>C23/C22-1</f>
        <v>-0.108161350844278</v>
      </c>
      <c r="J23" s="16">
        <f>(E23+G23-C23)/C23</f>
        <v>-0.8376985379194281</v>
      </c>
      <c r="K23" s="16">
        <f>AVERAGE(L20:L23)</f>
        <v>-0.827465360670337</v>
      </c>
      <c r="L23" s="16">
        <f>('Cashflow'!E23-'Cashflow'!C23)/'Cashflow'!C23</f>
        <v>-0.794842944210033</v>
      </c>
    </row>
    <row r="24" ht="20.05" customHeight="1">
      <c r="B24" s="30">
        <v>2020</v>
      </c>
      <c r="C24" s="13">
        <v>12007</v>
      </c>
      <c r="D24" s="14">
        <v>10693.2</v>
      </c>
      <c r="E24" s="14">
        <v>359</v>
      </c>
      <c r="F24" s="14"/>
      <c r="G24" s="14">
        <v>2104</v>
      </c>
      <c r="H24" s="18">
        <f>AVERAGE(G21:G24)</f>
        <v>1511.25</v>
      </c>
      <c r="I24" s="16">
        <f>C24/C23-1</f>
        <v>0.262964131692437</v>
      </c>
      <c r="J24" s="16">
        <f>(E24+G24-C24)/C24</f>
        <v>-0.79486965936537</v>
      </c>
      <c r="K24" s="16">
        <f>AVERAGE(L21:L24)</f>
        <v>-0.816400653570719</v>
      </c>
      <c r="L24" s="16">
        <f>('Cashflow'!E24-'Cashflow'!C24)/'Cashflow'!C24</f>
        <v>-0.853037925696594</v>
      </c>
    </row>
    <row r="25" ht="20.05" customHeight="1">
      <c r="B25" s="29"/>
      <c r="C25" s="13">
        <v>11040</v>
      </c>
      <c r="D25" s="14">
        <v>11200.22</v>
      </c>
      <c r="E25" s="14">
        <v>346</v>
      </c>
      <c r="F25" s="14"/>
      <c r="G25" s="14">
        <v>1481.43</v>
      </c>
      <c r="H25" s="18">
        <f>AVERAGE(G22:G25)</f>
        <v>1554.1075</v>
      </c>
      <c r="I25" s="16">
        <f>C25/C24-1</f>
        <v>-0.0805363537936204</v>
      </c>
      <c r="J25" s="16">
        <f>(E25+G25-C25)/C25</f>
        <v>-0.834471920289855</v>
      </c>
      <c r="K25" s="16">
        <f>AVERAGE(L22:L25)</f>
        <v>-0.820058626392566</v>
      </c>
      <c r="L25" s="16">
        <f>('Cashflow'!E25-'Cashflow'!C25)/'Cashflow'!C25</f>
        <v>-0.796919714165616</v>
      </c>
    </row>
    <row r="26" ht="20.05" customHeight="1">
      <c r="B26" s="29"/>
      <c r="C26" s="13">
        <f>33897-C25-C24</f>
        <v>10850</v>
      </c>
      <c r="D26" s="14">
        <v>11067</v>
      </c>
      <c r="E26" s="14">
        <f>1080-SUM(E24:E25)</f>
        <v>375</v>
      </c>
      <c r="F26" s="22"/>
      <c r="G26" s="14">
        <f>4338-G25-G24</f>
        <v>752.5700000000001</v>
      </c>
      <c r="H26" s="18">
        <f>AVERAGE(G23:G26)</f>
        <v>1394.5</v>
      </c>
      <c r="I26" s="16">
        <f>C26/C25-1</f>
        <v>-0.0172101449275362</v>
      </c>
      <c r="J26" s="16">
        <f>(E26+G26-C26)/C26</f>
        <v>-0.896076497695853</v>
      </c>
      <c r="K26" s="16">
        <f>AVERAGE(L23:L26)</f>
        <v>-0.814080371476022</v>
      </c>
      <c r="L26" s="16">
        <f>('Cashflow'!E26-'Cashflow'!C26)/'Cashflow'!C26</f>
        <v>-0.811520901831846</v>
      </c>
    </row>
    <row r="27" ht="20.05" customHeight="1">
      <c r="B27" s="29"/>
      <c r="C27" s="13">
        <v>12744</v>
      </c>
      <c r="D27" s="14">
        <v>11067</v>
      </c>
      <c r="E27" s="14">
        <v>408</v>
      </c>
      <c r="F27" s="14">
        <v>1279</v>
      </c>
      <c r="G27" s="14">
        <v>3081</v>
      </c>
      <c r="H27" s="18">
        <f>AVERAGE(G24:G27)</f>
        <v>1854.75</v>
      </c>
      <c r="I27" s="16">
        <f>C27/C26-1</f>
        <v>0.174562211981567</v>
      </c>
      <c r="J27" s="16">
        <f>(E27+G27-F27-C27)/C27</f>
        <v>-0.826585059635907</v>
      </c>
      <c r="K27" s="16">
        <f>AVERAGE(L24:L27)</f>
        <v>-0.803856811195141</v>
      </c>
      <c r="L27" s="16">
        <f>('Cashflow'!E27-'Cashflow'!C27)/'Cashflow'!C27</f>
        <v>-0.753948703086509</v>
      </c>
    </row>
    <row r="28" ht="20.05" customHeight="1">
      <c r="B28" s="30">
        <v>2021</v>
      </c>
      <c r="C28" s="13">
        <v>15092.4</v>
      </c>
      <c r="D28" s="14">
        <v>14655.6</v>
      </c>
      <c r="E28" s="18">
        <v>402.4</v>
      </c>
      <c r="F28" s="18"/>
      <c r="G28" s="18">
        <v>2128.7</v>
      </c>
      <c r="H28" s="18">
        <f>AVERAGE(G25:G28)</f>
        <v>1860.925</v>
      </c>
      <c r="I28" s="16">
        <f>C28/C27-1</f>
        <v>0.184274952919021</v>
      </c>
      <c r="J28" s="16">
        <f>(E28+G28-F28-C28)/C28</f>
        <v>-0.8322930746600939</v>
      </c>
      <c r="K28" s="16">
        <f>AVERAGE(L25:L28)</f>
        <v>-0.809148073908713</v>
      </c>
      <c r="L28" s="16">
        <f>('Cashflow'!E28-'Cashflow'!C28)/'Cashflow'!C28</f>
        <v>-0.874202976550879</v>
      </c>
    </row>
    <row r="29" ht="20.05" customHeight="1">
      <c r="B29" s="29"/>
      <c r="C29" s="13">
        <f>28199.1-C28</f>
        <v>13106.7</v>
      </c>
      <c r="D29" s="14">
        <v>14941.476</v>
      </c>
      <c r="E29" s="18">
        <f>705-E28</f>
        <v>302.6</v>
      </c>
      <c r="F29" s="22"/>
      <c r="G29" s="18">
        <f>3964.6-G28</f>
        <v>1835.9</v>
      </c>
      <c r="H29" s="18">
        <f>AVERAGE(G26:G29)</f>
        <v>1949.5425</v>
      </c>
      <c r="I29" s="16">
        <f>C29/C28-1</f>
        <v>-0.131569531684821</v>
      </c>
      <c r="J29" s="16">
        <f>(E29+G29-F29-C29)/C29</f>
        <v>-0.8368391738576449</v>
      </c>
      <c r="K29" s="16">
        <f>AVERAGE(L26:L29)</f>
        <v>-0.822180834686816</v>
      </c>
      <c r="L29" s="16">
        <f>('Cashflow'!E29-'Cashflow'!C29)/'Cashflow'!C29</f>
        <v>-0.849050757278031</v>
      </c>
    </row>
    <row r="30" ht="20.05" customHeight="1">
      <c r="B30" s="29"/>
      <c r="C30" s="13">
        <f>42622-SUM(C28:C29)</f>
        <v>14422.9</v>
      </c>
      <c r="D30" s="14">
        <v>12975.633</v>
      </c>
      <c r="E30" s="18">
        <f>1223.6-SUM(E28:E29)</f>
        <v>518.6</v>
      </c>
      <c r="F30" s="31"/>
      <c r="G30" s="18">
        <f>6081.8-SUM(G28:G29)</f>
        <v>2117.2</v>
      </c>
      <c r="H30" s="18">
        <f>AVERAGE(G27:G30)</f>
        <v>2290.7</v>
      </c>
      <c r="I30" s="16">
        <f>C30/C29-1</f>
        <v>0.10042192161261</v>
      </c>
      <c r="J30" s="16">
        <f>(E30+G30-F30-C30)/C30</f>
        <v>-0.817248958253888</v>
      </c>
      <c r="K30" s="16">
        <f>AVERAGE(L27:L30)</f>
        <v>-0.837206269865385</v>
      </c>
      <c r="L30" s="16">
        <f>('Cashflow'!E30-'Cashflow'!C30)/'Cashflow'!C30</f>
        <v>-0.871622642546119</v>
      </c>
    </row>
    <row r="31" ht="20.05" customHeight="1">
      <c r="B31" s="29"/>
      <c r="C31" s="13"/>
      <c r="D31" s="14">
        <f>'Model'!C6</f>
        <v>15865.19</v>
      </c>
      <c r="E31" s="22"/>
      <c r="F31" s="31"/>
      <c r="G31" s="22"/>
      <c r="H31" s="18">
        <f>'Model'!F21</f>
        <v>2219.0360188474</v>
      </c>
      <c r="I31" s="12"/>
      <c r="J31" s="12">
        <f>'Model'!C7</f>
        <v>-0.837206269865385</v>
      </c>
      <c r="K31" s="22"/>
      <c r="L31" s="16"/>
    </row>
    <row r="32" ht="20.05" customHeight="1">
      <c r="B32" s="30">
        <v>2022</v>
      </c>
      <c r="C32" s="13"/>
      <c r="D32" s="14">
        <f>'Model'!D6</f>
        <v>15547.8862</v>
      </c>
      <c r="E32" s="22"/>
      <c r="F32" s="22"/>
      <c r="G32" s="22"/>
      <c r="H32" s="18"/>
      <c r="I32" s="12"/>
      <c r="J32" s="12"/>
      <c r="K32" s="12"/>
      <c r="L32" s="12"/>
    </row>
    <row r="33" ht="20.05" customHeight="1">
      <c r="B33" s="29"/>
      <c r="C33" s="13"/>
      <c r="D33" s="14">
        <f>'Model'!E6</f>
        <v>16169.801648</v>
      </c>
      <c r="E33" s="22"/>
      <c r="F33" s="22"/>
      <c r="G33" s="22"/>
      <c r="H33" s="18"/>
      <c r="I33" s="12"/>
      <c r="J33" s="12"/>
      <c r="K33" s="12"/>
      <c r="L33" s="12"/>
    </row>
    <row r="34" ht="20.05" customHeight="1">
      <c r="B34" s="29"/>
      <c r="C34" s="13"/>
      <c r="D34" s="14">
        <f>'Model'!F6</f>
        <v>16816.59371392</v>
      </c>
      <c r="E34" s="22"/>
      <c r="F34" s="31"/>
      <c r="G34" s="22"/>
      <c r="H34" s="12"/>
      <c r="I34" s="12"/>
      <c r="J34" s="12"/>
      <c r="K34" s="12"/>
      <c r="L34" s="12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32" customWidth="1"/>
    <col min="2" max="2" width="7.60938" style="32" customWidth="1"/>
    <col min="3" max="13" width="10.5156" style="32" customWidth="1"/>
    <col min="14" max="16384" width="16.3516" style="32" customWidth="1"/>
  </cols>
  <sheetData>
    <row r="1" ht="36.4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4">
        <v>1</v>
      </c>
      <c r="C3" t="s" s="4">
        <v>47</v>
      </c>
      <c r="D3" t="s" s="4">
        <v>48</v>
      </c>
      <c r="E3" t="s" s="4">
        <v>8</v>
      </c>
      <c r="F3" t="s" s="4">
        <v>9</v>
      </c>
      <c r="G3" t="s" s="4">
        <v>49</v>
      </c>
      <c r="H3" t="s" s="4">
        <v>11</v>
      </c>
      <c r="I3" t="s" s="4">
        <v>25</v>
      </c>
      <c r="J3" t="s" s="4">
        <v>50</v>
      </c>
      <c r="K3" t="s" s="4">
        <v>51</v>
      </c>
      <c r="L3" t="s" s="4">
        <v>33</v>
      </c>
      <c r="M3" t="s" s="4">
        <v>29</v>
      </c>
    </row>
    <row r="4" ht="20.25" customHeight="1">
      <c r="B4" s="25">
        <v>2015</v>
      </c>
      <c r="C4" s="33"/>
      <c r="D4" s="34"/>
      <c r="E4" s="34">
        <v>388</v>
      </c>
      <c r="F4" s="34">
        <v>-453.8</v>
      </c>
      <c r="G4" s="34"/>
      <c r="H4" s="34"/>
      <c r="I4" s="34"/>
      <c r="J4" s="34">
        <v>152.9</v>
      </c>
      <c r="K4" s="34">
        <f>SUM(D4:E4)</f>
        <v>388</v>
      </c>
      <c r="L4" s="35"/>
      <c r="M4" s="34">
        <f>-J4</f>
        <v>-152.9</v>
      </c>
    </row>
    <row r="5" ht="20.05" customHeight="1">
      <c r="B5" s="29"/>
      <c r="C5" s="17"/>
      <c r="D5" s="18"/>
      <c r="E5" s="18">
        <v>982.9</v>
      </c>
      <c r="F5" s="18">
        <v>-1022.2</v>
      </c>
      <c r="G5" s="18"/>
      <c r="H5" s="18"/>
      <c r="I5" s="18"/>
      <c r="J5" s="18">
        <v>-1270.6</v>
      </c>
      <c r="K5" s="18">
        <f>SUM(D5:E5)</f>
        <v>982.9</v>
      </c>
      <c r="L5" s="21"/>
      <c r="M5" s="18">
        <f>-(J5-G5)+M4</f>
        <v>1117.7</v>
      </c>
    </row>
    <row r="6" ht="20.05" customHeight="1">
      <c r="B6" s="29"/>
      <c r="C6" s="17"/>
      <c r="D6" s="18"/>
      <c r="E6" s="18">
        <v>42.4</v>
      </c>
      <c r="F6" s="18">
        <v>-345.2</v>
      </c>
      <c r="G6" s="18"/>
      <c r="H6" s="18"/>
      <c r="I6" s="18"/>
      <c r="J6" s="18">
        <v>125.3</v>
      </c>
      <c r="K6" s="18">
        <f>SUM(D6:E6)</f>
        <v>42.4</v>
      </c>
      <c r="L6" s="21"/>
      <c r="M6" s="18">
        <f>-(J6-G6)+M5</f>
        <v>992.4</v>
      </c>
    </row>
    <row r="7" ht="20.05" customHeight="1">
      <c r="B7" s="29"/>
      <c r="C7" s="17"/>
      <c r="D7" s="18"/>
      <c r="E7" s="18">
        <v>2072.2</v>
      </c>
      <c r="F7" s="18">
        <v>-226.2</v>
      </c>
      <c r="G7" s="18"/>
      <c r="H7" s="18"/>
      <c r="I7" s="18"/>
      <c r="J7" s="18">
        <v>-272.4</v>
      </c>
      <c r="K7" s="18">
        <f>SUM(D7:E7)</f>
        <v>2072.2</v>
      </c>
      <c r="L7" s="21"/>
      <c r="M7" s="18">
        <f>-(J7-G7)+M6</f>
        <v>1264.8</v>
      </c>
    </row>
    <row r="8" ht="20.05" customHeight="1">
      <c r="B8" s="30">
        <v>2016</v>
      </c>
      <c r="C8" s="17">
        <v>8426</v>
      </c>
      <c r="D8" s="18"/>
      <c r="E8" s="18">
        <v>1031.5</v>
      </c>
      <c r="F8" s="18">
        <v>-354.9</v>
      </c>
      <c r="G8" s="18"/>
      <c r="H8" s="18"/>
      <c r="I8" s="18"/>
      <c r="J8" s="18">
        <v>-279.7</v>
      </c>
      <c r="K8" s="18">
        <f>SUM(D8:E8)</f>
        <v>1031.5</v>
      </c>
      <c r="L8" s="18">
        <f>AVERAGE(K5:K8)</f>
        <v>1032.25</v>
      </c>
      <c r="M8" s="18">
        <f>-(J8-G8)+M7</f>
        <v>1544.5</v>
      </c>
    </row>
    <row r="9" ht="20.05" customHeight="1">
      <c r="B9" s="29"/>
      <c r="C9" s="17">
        <v>8213</v>
      </c>
      <c r="D9" s="18"/>
      <c r="E9" s="18">
        <v>805.5</v>
      </c>
      <c r="F9" s="18">
        <v>-180.8</v>
      </c>
      <c r="G9" s="18"/>
      <c r="H9" s="18"/>
      <c r="I9" s="18"/>
      <c r="J9" s="18">
        <v>-1506.3</v>
      </c>
      <c r="K9" s="18">
        <f>SUM(D9:E9)</f>
        <v>805.5</v>
      </c>
      <c r="L9" s="18">
        <f>AVERAGE(K6:K9)</f>
        <v>987.9</v>
      </c>
      <c r="M9" s="18">
        <f>-(J9-G9)+M8</f>
        <v>3050.8</v>
      </c>
    </row>
    <row r="10" ht="20.05" customHeight="1">
      <c r="B10" s="29"/>
      <c r="C10" s="17">
        <v>8258</v>
      </c>
      <c r="D10" s="18"/>
      <c r="E10" s="18">
        <v>729.5</v>
      </c>
      <c r="F10" s="18">
        <v>-150</v>
      </c>
      <c r="G10" s="18"/>
      <c r="H10" s="18"/>
      <c r="I10" s="18"/>
      <c r="J10" s="18">
        <v>-225</v>
      </c>
      <c r="K10" s="18">
        <f>SUM(D10:E10)</f>
        <v>729.5</v>
      </c>
      <c r="L10" s="18">
        <f>AVERAGE(K7:K10)</f>
        <v>1159.675</v>
      </c>
      <c r="M10" s="18">
        <f>-(J10-G10)+M9</f>
        <v>3275.8</v>
      </c>
    </row>
    <row r="11" ht="20.05" customHeight="1">
      <c r="B11" s="29"/>
      <c r="C11" s="17">
        <v>9108</v>
      </c>
      <c r="D11" s="18"/>
      <c r="E11" s="18">
        <v>2018.4</v>
      </c>
      <c r="F11" s="18">
        <v>-874.4</v>
      </c>
      <c r="G11" s="18"/>
      <c r="H11" s="18"/>
      <c r="I11" s="18"/>
      <c r="J11" s="18">
        <v>-148.2</v>
      </c>
      <c r="K11" s="18">
        <f>SUM(D11:E11)</f>
        <v>2018.4</v>
      </c>
      <c r="L11" s="18">
        <f>AVERAGE(K8:K11)</f>
        <v>1146.225</v>
      </c>
      <c r="M11" s="18">
        <f>-(J11-G11)+M10</f>
        <v>3424</v>
      </c>
    </row>
    <row r="12" ht="20.05" customHeight="1">
      <c r="B12" s="30">
        <v>2017</v>
      </c>
      <c r="C12" s="17">
        <v>8605</v>
      </c>
      <c r="D12" s="18"/>
      <c r="E12" s="18">
        <v>784</v>
      </c>
      <c r="F12" s="18">
        <v>-524</v>
      </c>
      <c r="G12" s="18"/>
      <c r="H12" s="18"/>
      <c r="I12" s="18"/>
      <c r="J12" s="18">
        <v>-101</v>
      </c>
      <c r="K12" s="18">
        <f>SUM(D12:E12)</f>
        <v>784</v>
      </c>
      <c r="L12" s="18">
        <f>AVERAGE(K9:K12)</f>
        <v>1084.35</v>
      </c>
      <c r="M12" s="18">
        <f>-(J12-G12)+M11</f>
        <v>3525</v>
      </c>
    </row>
    <row r="13" ht="20.05" customHeight="1">
      <c r="B13" s="29"/>
      <c r="C13" s="17">
        <v>8150</v>
      </c>
      <c r="D13" s="18"/>
      <c r="E13" s="18">
        <v>845</v>
      </c>
      <c r="F13" s="18">
        <v>-1112</v>
      </c>
      <c r="G13" s="18"/>
      <c r="H13" s="18"/>
      <c r="I13" s="18"/>
      <c r="J13" s="18">
        <v>395</v>
      </c>
      <c r="K13" s="18">
        <f>SUM(D13:E13)</f>
        <v>845</v>
      </c>
      <c r="L13" s="18">
        <f>AVERAGE(K10:K13)</f>
        <v>1094.225</v>
      </c>
      <c r="M13" s="18">
        <f>-(J13-G13)+M12</f>
        <v>3130</v>
      </c>
    </row>
    <row r="14" ht="20.05" customHeight="1">
      <c r="B14" s="29"/>
      <c r="C14" s="17">
        <v>10012</v>
      </c>
      <c r="D14" s="18"/>
      <c r="E14" s="18">
        <v>2104</v>
      </c>
      <c r="F14" s="18">
        <v>-908</v>
      </c>
      <c r="G14" s="18"/>
      <c r="H14" s="18"/>
      <c r="I14" s="18"/>
      <c r="J14" s="18">
        <v>-2015</v>
      </c>
      <c r="K14" s="18">
        <f>SUM(D14:E14)</f>
        <v>2104</v>
      </c>
      <c r="L14" s="18">
        <f>AVERAGE(K11:K14)</f>
        <v>1437.85</v>
      </c>
      <c r="M14" s="18">
        <f>-(J14-G14)+M13</f>
        <v>5145</v>
      </c>
    </row>
    <row r="15" ht="20.05" customHeight="1">
      <c r="B15" s="29"/>
      <c r="C15" s="17">
        <v>8847</v>
      </c>
      <c r="D15" s="18"/>
      <c r="E15" s="18">
        <v>1441</v>
      </c>
      <c r="F15" s="18">
        <v>-406</v>
      </c>
      <c r="G15" s="18"/>
      <c r="H15" s="18"/>
      <c r="I15" s="18"/>
      <c r="J15" s="18">
        <v>-95</v>
      </c>
      <c r="K15" s="18">
        <f>SUM(D15:E15)</f>
        <v>1441</v>
      </c>
      <c r="L15" s="18">
        <f>AVERAGE(K12:K15)</f>
        <v>1293.5</v>
      </c>
      <c r="M15" s="18">
        <f>-(J15-G15)+M14</f>
        <v>5240</v>
      </c>
    </row>
    <row r="16" ht="20.05" customHeight="1">
      <c r="B16" s="30">
        <v>2018</v>
      </c>
      <c r="C16" s="17">
        <v>8877</v>
      </c>
      <c r="D16" s="18">
        <v>-420</v>
      </c>
      <c r="E16" s="18">
        <v>1359</v>
      </c>
      <c r="F16" s="18">
        <v>-671</v>
      </c>
      <c r="G16" s="18"/>
      <c r="H16" s="18"/>
      <c r="I16" s="18"/>
      <c r="J16" s="18">
        <v>-83</v>
      </c>
      <c r="K16" s="18">
        <f>SUM(D16:E16)</f>
        <v>939</v>
      </c>
      <c r="L16" s="18">
        <f>AVERAGE(K13:K16)</f>
        <v>1332.25</v>
      </c>
      <c r="M16" s="18">
        <f>-(J16-G16)+M15</f>
        <v>5323</v>
      </c>
    </row>
    <row r="17" ht="20.05" customHeight="1">
      <c r="B17" s="29"/>
      <c r="C17" s="17">
        <v>9414</v>
      </c>
      <c r="D17" s="18">
        <f>-787.4-D16</f>
        <v>-367.4</v>
      </c>
      <c r="E17" s="18">
        <v>1036</v>
      </c>
      <c r="F17" s="18">
        <v>-711</v>
      </c>
      <c r="G17" s="18"/>
      <c r="H17" s="18"/>
      <c r="I17" s="18"/>
      <c r="J17" s="18">
        <v>-1848</v>
      </c>
      <c r="K17" s="18">
        <f>SUM(D17:E17)</f>
        <v>668.6</v>
      </c>
      <c r="L17" s="18">
        <f>AVERAGE(K14:K17)</f>
        <v>1288.15</v>
      </c>
      <c r="M17" s="18">
        <f>-(J17-G17)+M16</f>
        <v>7171</v>
      </c>
    </row>
    <row r="18" ht="20.05" customHeight="1">
      <c r="B18" s="29"/>
      <c r="C18" s="17">
        <v>10355</v>
      </c>
      <c r="D18" s="18">
        <f>-2606.4-SUM(D16:D17)</f>
        <v>-1819</v>
      </c>
      <c r="E18" s="18">
        <v>1252</v>
      </c>
      <c r="F18" s="18">
        <v>-1990</v>
      </c>
      <c r="G18" s="18"/>
      <c r="H18" s="18"/>
      <c r="I18" s="18"/>
      <c r="J18" s="18">
        <v>-1857</v>
      </c>
      <c r="K18" s="18">
        <f>SUM(D18:E18)</f>
        <v>-567</v>
      </c>
      <c r="L18" s="18">
        <f>AVERAGE(K15:K18)</f>
        <v>620.4</v>
      </c>
      <c r="M18" s="18">
        <f>-(J18-G18)+M17</f>
        <v>9028</v>
      </c>
    </row>
    <row r="19" ht="20.05" customHeight="1">
      <c r="B19" s="29"/>
      <c r="C19" s="17">
        <v>9964</v>
      </c>
      <c r="D19" s="18">
        <f>-3578.1-SUM(D16:D18)</f>
        <v>-971.7</v>
      </c>
      <c r="E19" s="18">
        <v>1006</v>
      </c>
      <c r="F19" s="18">
        <v>-1341</v>
      </c>
      <c r="G19" s="18"/>
      <c r="H19" s="18"/>
      <c r="I19" s="18"/>
      <c r="J19" s="18">
        <v>-454</v>
      </c>
      <c r="K19" s="18">
        <f>SUM(D19:E19)</f>
        <v>34.3</v>
      </c>
      <c r="L19" s="18">
        <f>AVERAGE(K16:K19)</f>
        <v>268.725</v>
      </c>
      <c r="M19" s="18">
        <f>-(J19-G19)+M18</f>
        <v>9482</v>
      </c>
    </row>
    <row r="20" ht="20.05" customHeight="1">
      <c r="B20" s="30">
        <v>2019</v>
      </c>
      <c r="C20" s="17">
        <v>9951</v>
      </c>
      <c r="D20" s="18">
        <v>-593.9</v>
      </c>
      <c r="E20" s="18">
        <v>1022</v>
      </c>
      <c r="F20" s="18">
        <v>-1398</v>
      </c>
      <c r="G20" s="18"/>
      <c r="H20" s="18"/>
      <c r="I20" s="18"/>
      <c r="J20" s="18">
        <v>-54</v>
      </c>
      <c r="K20" s="18">
        <f>SUM(D20:E20)</f>
        <v>428.1</v>
      </c>
      <c r="L20" s="18">
        <f>AVERAGE(K17:K20)</f>
        <v>141</v>
      </c>
      <c r="M20" s="18">
        <f>-(J20-G20)+M19</f>
        <v>9536</v>
      </c>
    </row>
    <row r="21" ht="20.05" customHeight="1">
      <c r="B21" s="29"/>
      <c r="C21" s="17">
        <v>10840</v>
      </c>
      <c r="D21" s="18">
        <f>-1077.9-D20</f>
        <v>-484</v>
      </c>
      <c r="E21" s="18">
        <v>2360</v>
      </c>
      <c r="F21" s="18">
        <v>-415</v>
      </c>
      <c r="G21" s="18"/>
      <c r="H21" s="18"/>
      <c r="I21" s="18"/>
      <c r="J21" s="18">
        <v>-327</v>
      </c>
      <c r="K21" s="18">
        <f>SUM(D21:E21)</f>
        <v>1876</v>
      </c>
      <c r="L21" s="18">
        <f>AVERAGE(K18:K21)</f>
        <v>442.85</v>
      </c>
      <c r="M21" s="18">
        <f>-(J21-G21)+M20</f>
        <v>9863</v>
      </c>
    </row>
    <row r="22" ht="20.05" customHeight="1">
      <c r="B22" s="29"/>
      <c r="C22" s="17">
        <v>11108</v>
      </c>
      <c r="D22" s="18">
        <f>-1715.3-SUM(D20:D21)</f>
        <v>-637.4</v>
      </c>
      <c r="E22" s="18">
        <v>1828</v>
      </c>
      <c r="F22" s="18">
        <v>-964</v>
      </c>
      <c r="G22" s="18"/>
      <c r="H22" s="18"/>
      <c r="I22" s="18"/>
      <c r="J22" s="18">
        <v>-675</v>
      </c>
      <c r="K22" s="18">
        <f>SUM(D22:E22)</f>
        <v>1190.6</v>
      </c>
      <c r="L22" s="18">
        <f>AVERAGE(K19:K22)</f>
        <v>882.25</v>
      </c>
      <c r="M22" s="18">
        <f>-(J22-G22)+M21</f>
        <v>10538</v>
      </c>
    </row>
    <row r="23" ht="20.05" customHeight="1">
      <c r="B23" s="29"/>
      <c r="C23" s="17">
        <v>10665</v>
      </c>
      <c r="D23" s="18">
        <f>-2026.6-SUM(D20:D22)</f>
        <v>-311.3</v>
      </c>
      <c r="E23" s="18">
        <v>2188</v>
      </c>
      <c r="F23" s="18">
        <v>377</v>
      </c>
      <c r="G23" s="18"/>
      <c r="H23" s="18"/>
      <c r="I23" s="18"/>
      <c r="J23" s="18">
        <v>-210</v>
      </c>
      <c r="K23" s="18">
        <f>SUM(D23:E23)</f>
        <v>1876.7</v>
      </c>
      <c r="L23" s="18">
        <f>AVERAGE(K20:K23)</f>
        <v>1342.85</v>
      </c>
      <c r="M23" s="18">
        <f>-(J23-G23)+M22</f>
        <v>10748</v>
      </c>
    </row>
    <row r="24" ht="20.05" customHeight="1">
      <c r="B24" s="30">
        <v>2020</v>
      </c>
      <c r="C24" s="17">
        <v>10336</v>
      </c>
      <c r="D24" s="18">
        <v>-374.8</v>
      </c>
      <c r="E24" s="18">
        <v>1519</v>
      </c>
      <c r="F24" s="18">
        <v>-1551</v>
      </c>
      <c r="G24" s="18">
        <v>-66.5</v>
      </c>
      <c r="H24" s="18"/>
      <c r="I24" s="18"/>
      <c r="J24" s="18">
        <v>-36</v>
      </c>
      <c r="K24" s="18">
        <f>SUM(D24:E24)</f>
        <v>1144.2</v>
      </c>
      <c r="L24" s="18">
        <f>AVERAGE(K21:K24)</f>
        <v>1521.875</v>
      </c>
      <c r="M24" s="18">
        <f>-(J24-G24)+M23</f>
        <v>10717.5</v>
      </c>
    </row>
    <row r="25" ht="20.05" customHeight="1">
      <c r="B25" s="29"/>
      <c r="C25" s="17">
        <v>11895</v>
      </c>
      <c r="D25" s="18">
        <f>-744.1-D24</f>
        <v>-369.3</v>
      </c>
      <c r="E25" s="18">
        <v>2415.64</v>
      </c>
      <c r="F25" s="18">
        <f>-3639-F24</f>
        <v>-2088</v>
      </c>
      <c r="G25" s="18">
        <v>-66.5</v>
      </c>
      <c r="H25" s="18"/>
      <c r="I25" s="18"/>
      <c r="J25" s="18">
        <v>237.46</v>
      </c>
      <c r="K25" s="18">
        <f>SUM(D25:E25)</f>
        <v>2046.34</v>
      </c>
      <c r="L25" s="18">
        <f>AVERAGE(K22:K25)</f>
        <v>1564.46</v>
      </c>
      <c r="M25" s="18">
        <f>-(J25-G25)+M24</f>
        <v>10413.54</v>
      </c>
    </row>
    <row r="26" ht="20.05" customHeight="1">
      <c r="B26" s="29"/>
      <c r="C26" s="17">
        <v>10645</v>
      </c>
      <c r="D26" s="18">
        <f>-1157.5-SUM(D24:D25)</f>
        <v>-413.4</v>
      </c>
      <c r="E26" s="18">
        <f>5941-E25-E24</f>
        <v>2006.36</v>
      </c>
      <c r="F26" s="18">
        <f>-34289-F25-F24</f>
        <v>-30650</v>
      </c>
      <c r="G26" s="18">
        <v>-66.5</v>
      </c>
      <c r="H26" s="18"/>
      <c r="I26" s="18"/>
      <c r="J26" s="18">
        <f>22073-J25-J24</f>
        <v>21871.54</v>
      </c>
      <c r="K26" s="18">
        <f>SUM(D26:E26)</f>
        <v>1592.96</v>
      </c>
      <c r="L26" s="18">
        <f>AVERAGE(K23:K26)</f>
        <v>1665.05</v>
      </c>
      <c r="M26" s="18">
        <f>-(J26-G26)+M25</f>
        <v>-11524.5</v>
      </c>
    </row>
    <row r="27" ht="20.05" customHeight="1">
      <c r="B27" s="29"/>
      <c r="C27" s="17">
        <v>13802</v>
      </c>
      <c r="D27" s="18">
        <f>-1872.5-SUM(D24:D26)</f>
        <v>-715</v>
      </c>
      <c r="E27" s="18">
        <v>3396</v>
      </c>
      <c r="F27" s="18">
        <v>-668</v>
      </c>
      <c r="G27" s="18">
        <v>-66.5</v>
      </c>
      <c r="H27" s="18"/>
      <c r="I27" s="18"/>
      <c r="J27" s="18">
        <v>4685</v>
      </c>
      <c r="K27" s="18">
        <f>SUM(D27:E27)</f>
        <v>2681</v>
      </c>
      <c r="L27" s="18">
        <f>AVERAGE(K24:K27)</f>
        <v>1866.125</v>
      </c>
      <c r="M27" s="18">
        <f>-(J27-G27)+M26</f>
        <v>-16276</v>
      </c>
    </row>
    <row r="28" ht="20.05" customHeight="1">
      <c r="B28" s="30">
        <v>2021</v>
      </c>
      <c r="C28" s="17">
        <v>13377.9</v>
      </c>
      <c r="D28" s="18">
        <v>-652.3</v>
      </c>
      <c r="E28" s="18">
        <v>1682.9</v>
      </c>
      <c r="F28" s="18">
        <v>-1136.3</v>
      </c>
      <c r="G28" s="18">
        <v>-44</v>
      </c>
      <c r="H28" s="18">
        <f>-305.236+G28</f>
        <v>-349.236</v>
      </c>
      <c r="I28" s="18"/>
      <c r="J28" s="18">
        <f>-305.2</f>
        <v>-305.2</v>
      </c>
      <c r="K28" s="18">
        <f>SUM(D28:E28)</f>
        <v>1030.6</v>
      </c>
      <c r="L28" s="18">
        <f>AVERAGE(K25:K28)</f>
        <v>1837.725</v>
      </c>
      <c r="M28" s="18">
        <f>-(H28+I28)+M27</f>
        <v>-15926.764</v>
      </c>
    </row>
    <row r="29" ht="20.05" customHeight="1">
      <c r="B29" s="29"/>
      <c r="C29" s="17">
        <f>26609.5-C28</f>
        <v>13231.6</v>
      </c>
      <c r="D29" s="18">
        <f>-744.1-D28</f>
        <v>-91.8</v>
      </c>
      <c r="E29" s="18">
        <f>3680.2-E28</f>
        <v>1997.3</v>
      </c>
      <c r="F29" s="18">
        <f>-1852.6-F28</f>
        <v>-716.3</v>
      </c>
      <c r="G29" s="18">
        <f>-109.4-G28</f>
        <v>-65.40000000000001</v>
      </c>
      <c r="H29" s="18">
        <f>-815.989-G29-G28-H28-I29</f>
        <v>105.206</v>
      </c>
      <c r="I29" s="18">
        <f>-462.559</f>
        <v>-462.559</v>
      </c>
      <c r="J29" s="18">
        <f>-816-J28</f>
        <v>-510.8</v>
      </c>
      <c r="K29" s="18">
        <f>SUM(D29:E29)</f>
        <v>1905.5</v>
      </c>
      <c r="L29" s="18">
        <f>AVERAGE(K26:K29)</f>
        <v>1802.515</v>
      </c>
      <c r="M29" s="18">
        <f>-(H29+I29)+M28</f>
        <v>-15569.411</v>
      </c>
    </row>
    <row r="30" ht="20.05" customHeight="1">
      <c r="B30" s="29"/>
      <c r="C30" s="17">
        <f>41169.7-SUM(C28:C29)</f>
        <v>14560.2</v>
      </c>
      <c r="D30" s="18">
        <f>-1921.4-SUM(D28:D29)</f>
        <v>-1177.3</v>
      </c>
      <c r="E30" s="18">
        <f>5549.4-SUM(E28:E29)</f>
        <v>1869.2</v>
      </c>
      <c r="F30" s="18">
        <f>-2423.4-SUM(F28:F29)</f>
        <v>-570.8</v>
      </c>
      <c r="G30" s="18">
        <f>-154-SUM(G28:G29)</f>
        <v>-44.6</v>
      </c>
      <c r="H30" s="18">
        <f>-3500.037-G30-G29-G28-H29-H28-I30-I29</f>
        <v>115.708</v>
      </c>
      <c r="I30" s="18">
        <f>-2507.31-710.405-I29</f>
        <v>-2755.156</v>
      </c>
      <c r="J30" s="18">
        <f>-3500.1-SUM(J28:J29)</f>
        <v>-2684.1</v>
      </c>
      <c r="K30" s="18">
        <f>SUM(D30:E30)</f>
        <v>691.9</v>
      </c>
      <c r="L30" s="18">
        <f>AVERAGE(K27:K30)</f>
        <v>1577.25</v>
      </c>
      <c r="M30" s="18">
        <f>-(H30+I30)+M29</f>
        <v>-12929.963</v>
      </c>
    </row>
    <row r="31" ht="20.05" customHeight="1">
      <c r="B31" s="29"/>
      <c r="C31" s="17"/>
      <c r="D31" s="18"/>
      <c r="E31" s="18"/>
      <c r="F31" s="18"/>
      <c r="G31" s="18"/>
      <c r="H31" s="18"/>
      <c r="I31" s="18"/>
      <c r="J31" s="18"/>
      <c r="K31" s="22"/>
      <c r="L31" s="18">
        <f>SUM('Model'!F9:F10)</f>
        <v>2166.8360188474</v>
      </c>
      <c r="M31" s="18">
        <f>'Model'!F32</f>
        <v>-4729.3328057369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9.32031" style="36" customWidth="1"/>
    <col min="3" max="11" width="9.99219" style="36" customWidth="1"/>
    <col min="12" max="16384" width="16.3516" style="36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52</v>
      </c>
      <c r="D3" t="s" s="4">
        <v>53</v>
      </c>
      <c r="E3" t="s" s="4">
        <v>22</v>
      </c>
      <c r="F3" t="s" s="4">
        <v>23</v>
      </c>
      <c r="G3" t="s" s="4">
        <v>11</v>
      </c>
      <c r="H3" t="s" s="4">
        <v>25</v>
      </c>
      <c r="I3" t="s" s="4">
        <v>26</v>
      </c>
      <c r="J3" t="s" s="4">
        <v>54</v>
      </c>
      <c r="K3" t="s" s="4">
        <v>35</v>
      </c>
    </row>
    <row r="4" ht="20.25" customHeight="1">
      <c r="B4" s="25">
        <v>2016</v>
      </c>
      <c r="C4" s="33">
        <v>7991</v>
      </c>
      <c r="D4" s="34">
        <v>27693</v>
      </c>
      <c r="E4" s="34">
        <f>D4-C4</f>
        <v>19702</v>
      </c>
      <c r="F4" s="34"/>
      <c r="G4" s="34">
        <v>10325</v>
      </c>
      <c r="H4" s="34">
        <v>17368</v>
      </c>
      <c r="I4" s="34">
        <f>G4+H4-C4-E4</f>
        <v>0</v>
      </c>
      <c r="J4" s="34">
        <f>C4-G4</f>
        <v>-2334</v>
      </c>
      <c r="K4" s="34"/>
    </row>
    <row r="5" ht="20.05" customHeight="1">
      <c r="B5" s="29"/>
      <c r="C5" s="17">
        <v>6998</v>
      </c>
      <c r="D5" s="18">
        <v>27903</v>
      </c>
      <c r="E5" s="18">
        <f>D5-C5</f>
        <v>20905</v>
      </c>
      <c r="F5" s="18"/>
      <c r="G5" s="18">
        <v>11008</v>
      </c>
      <c r="H5" s="18">
        <v>16895</v>
      </c>
      <c r="I5" s="18">
        <f>G5+H5-C5-E5</f>
        <v>0</v>
      </c>
      <c r="J5" s="18">
        <f>C5-G5</f>
        <v>-4010</v>
      </c>
      <c r="K5" s="18"/>
    </row>
    <row r="6" ht="20.05" customHeight="1">
      <c r="B6" s="29"/>
      <c r="C6" s="17">
        <v>7331</v>
      </c>
      <c r="D6" s="18">
        <v>28189</v>
      </c>
      <c r="E6" s="18">
        <f>D6-C6</f>
        <v>20858</v>
      </c>
      <c r="F6" s="18"/>
      <c r="G6" s="18">
        <v>10369</v>
      </c>
      <c r="H6" s="18">
        <v>17820</v>
      </c>
      <c r="I6" s="18">
        <f>G6+H6-C6-E6</f>
        <v>0</v>
      </c>
      <c r="J6" s="18">
        <f>C6-G6</f>
        <v>-3038</v>
      </c>
      <c r="K6" s="18"/>
    </row>
    <row r="7" ht="20.05" customHeight="1">
      <c r="B7" s="29"/>
      <c r="C7" s="17">
        <v>8372</v>
      </c>
      <c r="D7" s="18">
        <v>28902</v>
      </c>
      <c r="E7" s="18">
        <f>D7-C7</f>
        <v>20530</v>
      </c>
      <c r="F7" s="18"/>
      <c r="G7" s="18">
        <v>10401</v>
      </c>
      <c r="H7" s="18">
        <v>18501</v>
      </c>
      <c r="I7" s="18">
        <f>G7+H7-C7-E7</f>
        <v>0</v>
      </c>
      <c r="J7" s="18">
        <f>C7-G7</f>
        <v>-2029</v>
      </c>
      <c r="K7" s="18"/>
    </row>
    <row r="8" ht="20.05" customHeight="1">
      <c r="B8" s="30">
        <v>2017</v>
      </c>
      <c r="C8" s="17">
        <v>8514</v>
      </c>
      <c r="D8" s="18">
        <v>30409</v>
      </c>
      <c r="E8" s="18">
        <f>D8-C8</f>
        <v>21895</v>
      </c>
      <c r="F8" s="18"/>
      <c r="G8" s="18">
        <v>10622</v>
      </c>
      <c r="H8" s="18">
        <v>19787</v>
      </c>
      <c r="I8" s="18">
        <f>G8+H8-C8-E8</f>
        <v>0</v>
      </c>
      <c r="J8" s="18">
        <f>C8-G8</f>
        <v>-2108</v>
      </c>
      <c r="K8" s="18"/>
    </row>
    <row r="9" ht="20.05" customHeight="1">
      <c r="B9" s="29"/>
      <c r="C9" s="17">
        <v>8642</v>
      </c>
      <c r="D9" s="18">
        <v>32391</v>
      </c>
      <c r="E9" s="18">
        <f>D9-C9</f>
        <v>23749</v>
      </c>
      <c r="F9" s="18"/>
      <c r="G9" s="18">
        <v>13546</v>
      </c>
      <c r="H9" s="18">
        <v>18845</v>
      </c>
      <c r="I9" s="18">
        <f>G9+H9-C9-E9</f>
        <v>0</v>
      </c>
      <c r="J9" s="18">
        <f>C9-G9</f>
        <v>-4904</v>
      </c>
      <c r="K9" s="18"/>
    </row>
    <row r="10" ht="20.05" customHeight="1">
      <c r="B10" s="29"/>
      <c r="C10" s="17">
        <v>7848</v>
      </c>
      <c r="D10" s="18">
        <v>31113</v>
      </c>
      <c r="E10" s="18">
        <f>D10-C10</f>
        <v>23265</v>
      </c>
      <c r="F10" s="18"/>
      <c r="G10" s="18">
        <v>11165</v>
      </c>
      <c r="H10" s="18">
        <v>19948</v>
      </c>
      <c r="I10" s="18">
        <f>G10+H10-C10-E10</f>
        <v>0</v>
      </c>
      <c r="J10" s="18">
        <f>C10-G10</f>
        <v>-3317</v>
      </c>
      <c r="K10" s="18"/>
    </row>
    <row r="11" ht="20.05" customHeight="1">
      <c r="B11" s="29"/>
      <c r="C11" s="17">
        <v>8797</v>
      </c>
      <c r="D11" s="18">
        <v>31619</v>
      </c>
      <c r="E11" s="18">
        <f>D11-C11</f>
        <v>22822</v>
      </c>
      <c r="F11" s="18"/>
      <c r="G11" s="18">
        <v>11295</v>
      </c>
      <c r="H11" s="18">
        <v>20324</v>
      </c>
      <c r="I11" s="18">
        <f>G11+H11-C11-E11</f>
        <v>0</v>
      </c>
      <c r="J11" s="18">
        <f>C11-G11</f>
        <v>-2498</v>
      </c>
      <c r="K11" s="18"/>
    </row>
    <row r="12" ht="20.05" customHeight="1">
      <c r="B12" s="30">
        <v>2018</v>
      </c>
      <c r="C12" s="17">
        <v>9448</v>
      </c>
      <c r="D12" s="18">
        <v>35403</v>
      </c>
      <c r="E12" s="18">
        <f>D12-C12</f>
        <v>25955</v>
      </c>
      <c r="F12" s="18">
        <f>1832+5138</f>
        <v>6970</v>
      </c>
      <c r="G12" s="18">
        <v>13795</v>
      </c>
      <c r="H12" s="18">
        <v>21608</v>
      </c>
      <c r="I12" s="18">
        <f>G12+H12-C12-E12</f>
        <v>0</v>
      </c>
      <c r="J12" s="18">
        <f>C12-G12</f>
        <v>-4347</v>
      </c>
      <c r="K12" s="18"/>
    </row>
    <row r="13" ht="20.05" customHeight="1">
      <c r="B13" s="29"/>
      <c r="C13" s="17">
        <v>8071</v>
      </c>
      <c r="D13" s="18">
        <v>34755</v>
      </c>
      <c r="E13" s="18">
        <f>D13-C13</f>
        <v>26684</v>
      </c>
      <c r="F13" s="18">
        <f>1865+5310</f>
        <v>7175</v>
      </c>
      <c r="G13" s="18">
        <v>14133</v>
      </c>
      <c r="H13" s="18">
        <v>20622</v>
      </c>
      <c r="I13" s="18">
        <f>G13+H13-C13-E13</f>
        <v>0</v>
      </c>
      <c r="J13" s="18">
        <f>C13-G13</f>
        <v>-6062</v>
      </c>
      <c r="K13" s="18"/>
    </row>
    <row r="14" ht="20.05" customHeight="1">
      <c r="B14" s="29"/>
      <c r="C14" s="17">
        <v>5593</v>
      </c>
      <c r="D14" s="18">
        <v>33820</v>
      </c>
      <c r="E14" s="18">
        <f>D14-C14</f>
        <v>28227</v>
      </c>
      <c r="F14" s="18">
        <f>1899+5501</f>
        <v>7400</v>
      </c>
      <c r="G14" s="18">
        <v>11897</v>
      </c>
      <c r="H14" s="18">
        <v>21923</v>
      </c>
      <c r="I14" s="18">
        <f>G14+H14-C14-E14</f>
        <v>0</v>
      </c>
      <c r="J14" s="18">
        <f>C14-G14</f>
        <v>-6304</v>
      </c>
      <c r="K14" s="18"/>
    </row>
    <row r="15" ht="20.05" customHeight="1">
      <c r="B15" s="29"/>
      <c r="C15" s="17">
        <v>4727</v>
      </c>
      <c r="D15" s="18">
        <v>34367</v>
      </c>
      <c r="E15" s="18">
        <f>D15-C15</f>
        <v>29640</v>
      </c>
      <c r="F15" s="18">
        <f>5713+1932</f>
        <v>7645</v>
      </c>
      <c r="G15" s="18">
        <v>11660</v>
      </c>
      <c r="H15" s="18">
        <v>22707</v>
      </c>
      <c r="I15" s="18">
        <f>G15+H15-C15-E15</f>
        <v>0</v>
      </c>
      <c r="J15" s="18">
        <f>C15-G15</f>
        <v>-6933</v>
      </c>
      <c r="K15" s="18"/>
    </row>
    <row r="16" ht="20.05" customHeight="1">
      <c r="B16" s="30">
        <v>2019</v>
      </c>
      <c r="C16" s="17">
        <v>4294</v>
      </c>
      <c r="D16" s="18">
        <v>36429</v>
      </c>
      <c r="E16" s="18">
        <f>D16-C16</f>
        <v>32135</v>
      </c>
      <c r="F16" s="18">
        <f>1965+5938</f>
        <v>7903</v>
      </c>
      <c r="G16" s="18">
        <v>12174</v>
      </c>
      <c r="H16" s="18">
        <v>24255</v>
      </c>
      <c r="I16" s="18">
        <f>G16+H16-C16-E16</f>
        <v>0</v>
      </c>
      <c r="J16" s="18">
        <f>C16-G16</f>
        <v>-7880</v>
      </c>
      <c r="K16" s="18"/>
    </row>
    <row r="17" ht="20.05" customHeight="1">
      <c r="B17" s="29"/>
      <c r="C17" s="17">
        <v>5847</v>
      </c>
      <c r="D17" s="18">
        <v>37368</v>
      </c>
      <c r="E17" s="18">
        <f>D17-C17</f>
        <v>31521</v>
      </c>
      <c r="F17" s="18">
        <f>1999+6167</f>
        <v>8166</v>
      </c>
      <c r="G17" s="18">
        <v>13417</v>
      </c>
      <c r="H17" s="18">
        <v>23951</v>
      </c>
      <c r="I17" s="18">
        <f>G17+H17-C17-E17</f>
        <v>0</v>
      </c>
      <c r="J17" s="18">
        <f>C17-G17</f>
        <v>-7570</v>
      </c>
      <c r="K17" s="18"/>
    </row>
    <row r="18" ht="20.05" customHeight="1">
      <c r="B18" s="29"/>
      <c r="C18" s="17">
        <v>6051</v>
      </c>
      <c r="D18" s="18">
        <v>37775</v>
      </c>
      <c r="E18" s="18">
        <f>D18-C18</f>
        <v>31724</v>
      </c>
      <c r="F18" s="18">
        <f>2032+6379</f>
        <v>8411</v>
      </c>
      <c r="G18" s="18">
        <v>12543</v>
      </c>
      <c r="H18" s="18">
        <v>25232</v>
      </c>
      <c r="I18" s="18">
        <f>G18+H18-C18-E18</f>
        <v>0</v>
      </c>
      <c r="J18" s="18">
        <f>C18-G18</f>
        <v>-6492</v>
      </c>
      <c r="K18" s="18"/>
    </row>
    <row r="19" ht="20.05" customHeight="1">
      <c r="B19" s="29"/>
      <c r="C19" s="17">
        <v>8359</v>
      </c>
      <c r="D19" s="18">
        <v>38709</v>
      </c>
      <c r="E19" s="18">
        <f>D19-C19</f>
        <v>30350</v>
      </c>
      <c r="F19" s="18">
        <f>6600+43+2065</f>
        <v>8708</v>
      </c>
      <c r="G19" s="18">
        <v>12038</v>
      </c>
      <c r="H19" s="18">
        <v>26671</v>
      </c>
      <c r="I19" s="18">
        <f>G19+H19-C19-E19</f>
        <v>0</v>
      </c>
      <c r="J19" s="18">
        <f>C19-G19</f>
        <v>-3679</v>
      </c>
      <c r="K19" s="18"/>
    </row>
    <row r="20" ht="20.05" customHeight="1">
      <c r="B20" s="30">
        <v>2020</v>
      </c>
      <c r="C20" s="17">
        <v>8904</v>
      </c>
      <c r="D20" s="18">
        <v>42101</v>
      </c>
      <c r="E20" s="18">
        <f>D20-C20</f>
        <v>33197</v>
      </c>
      <c r="F20" s="18">
        <f>6849+43+2098</f>
        <v>8990</v>
      </c>
      <c r="G20" s="18">
        <v>13319</v>
      </c>
      <c r="H20" s="18">
        <v>28782</v>
      </c>
      <c r="I20" s="18">
        <f>G20+H20-C20-E20</f>
        <v>0</v>
      </c>
      <c r="J20" s="18">
        <f>C20-G20</f>
        <v>-4415</v>
      </c>
      <c r="K20" s="22"/>
    </row>
    <row r="21" ht="20.05" customHeight="1">
      <c r="B21" s="29"/>
      <c r="C21" s="17">
        <v>8936</v>
      </c>
      <c r="D21" s="18">
        <v>43458</v>
      </c>
      <c r="E21" s="18">
        <f>D21-C21</f>
        <v>34522</v>
      </c>
      <c r="F21" s="18">
        <f>7086+53+2132</f>
        <v>9271</v>
      </c>
      <c r="G21" s="18">
        <v>13287</v>
      </c>
      <c r="H21" s="18">
        <v>30171</v>
      </c>
      <c r="I21" s="18">
        <f>G21+H21-C21-E21</f>
        <v>0</v>
      </c>
      <c r="J21" s="18">
        <f>C21-G21</f>
        <v>-4351</v>
      </c>
      <c r="K21" s="22"/>
    </row>
    <row r="22" ht="20.05" customHeight="1">
      <c r="B22" s="29"/>
      <c r="C22" s="17">
        <v>7314</v>
      </c>
      <c r="D22" s="18">
        <v>102157</v>
      </c>
      <c r="E22" s="18">
        <f>D22-C22</f>
        <v>94843</v>
      </c>
      <c r="F22" s="18">
        <f>7351+53+2165</f>
        <v>9569</v>
      </c>
      <c r="G22" s="18">
        <v>54468</v>
      </c>
      <c r="H22" s="18">
        <v>47689</v>
      </c>
      <c r="I22" s="18">
        <f>G22+H22-C22-E22</f>
        <v>0</v>
      </c>
      <c r="J22" s="18">
        <f>C22-G22</f>
        <v>-47154</v>
      </c>
      <c r="K22" s="22"/>
    </row>
    <row r="23" ht="20.05" customHeight="1">
      <c r="B23" s="29"/>
      <c r="C23" s="17">
        <v>9535</v>
      </c>
      <c r="D23" s="18">
        <v>103588</v>
      </c>
      <c r="E23" s="18">
        <f>D23-C23</f>
        <v>94053</v>
      </c>
      <c r="F23" s="18">
        <f>7576+137+2217</f>
        <v>9930</v>
      </c>
      <c r="G23" s="18">
        <v>53270</v>
      </c>
      <c r="H23" s="18">
        <v>50318</v>
      </c>
      <c r="I23" s="18">
        <f>G23+H23-C23-E23</f>
        <v>0</v>
      </c>
      <c r="J23" s="18">
        <f>C23-G23</f>
        <v>-43735</v>
      </c>
      <c r="K23" s="22"/>
    </row>
    <row r="24" ht="20.05" customHeight="1">
      <c r="B24" s="30">
        <v>2021</v>
      </c>
      <c r="C24" s="17">
        <v>9929</v>
      </c>
      <c r="D24" s="18">
        <v>107126</v>
      </c>
      <c r="E24" s="18">
        <f>D24-C24</f>
        <v>97197</v>
      </c>
      <c r="F24" s="18">
        <f>7883+137+2251</f>
        <v>10271</v>
      </c>
      <c r="G24" s="18">
        <v>54881</v>
      </c>
      <c r="H24" s="18">
        <v>52245</v>
      </c>
      <c r="I24" s="18">
        <f>G24+H24-C24-E24</f>
        <v>0</v>
      </c>
      <c r="J24" s="18">
        <f>C24-G24</f>
        <v>-44952</v>
      </c>
      <c r="K24" s="22"/>
    </row>
    <row r="25" ht="20.05" customHeight="1">
      <c r="B25" s="29"/>
      <c r="C25" s="17">
        <v>10672</v>
      </c>
      <c r="D25" s="18">
        <v>107927</v>
      </c>
      <c r="E25" s="18">
        <f>D25-C25</f>
        <v>97255</v>
      </c>
      <c r="F25" s="18">
        <f>8169+137+2284</f>
        <v>10590</v>
      </c>
      <c r="G25" s="18">
        <v>54321</v>
      </c>
      <c r="H25" s="18">
        <v>53606</v>
      </c>
      <c r="I25" s="18">
        <f>G25+H25-C25-E25</f>
        <v>0</v>
      </c>
      <c r="J25" s="18">
        <f>C25-G25</f>
        <v>-43649</v>
      </c>
      <c r="K25" s="22"/>
    </row>
    <row r="26" ht="20.05" customHeight="1">
      <c r="B26" s="29"/>
      <c r="C26" s="17">
        <v>9222</v>
      </c>
      <c r="D26" s="18">
        <v>107307</v>
      </c>
      <c r="E26" s="18">
        <f>D26-C26</f>
        <v>98085</v>
      </c>
      <c r="F26" s="18">
        <f>8436+137+1765</f>
        <v>10338</v>
      </c>
      <c r="G26" s="18">
        <v>54460</v>
      </c>
      <c r="H26" s="18">
        <v>52847</v>
      </c>
      <c r="I26" s="18">
        <f>G26+H26-C26-E26</f>
        <v>0</v>
      </c>
      <c r="J26" s="18">
        <f>C26-G26</f>
        <v>-45238</v>
      </c>
      <c r="K26" s="18">
        <f>J26</f>
        <v>-45238</v>
      </c>
    </row>
    <row r="27" ht="20.05" customHeight="1">
      <c r="B27" s="29"/>
      <c r="C27" s="17"/>
      <c r="D27" s="18"/>
      <c r="E27" s="18"/>
      <c r="F27" s="18"/>
      <c r="G27" s="18"/>
      <c r="H27" s="18"/>
      <c r="I27" s="18"/>
      <c r="J27" s="18"/>
      <c r="K27" s="18">
        <f>'Model'!F30</f>
        <v>-39560.1988640158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85156" style="37" customWidth="1"/>
    <col min="2" max="4" width="11.0547" style="37" customWidth="1"/>
    <col min="5" max="16384" width="16.3516" style="37" customWidth="1"/>
  </cols>
  <sheetData>
    <row r="1" ht="50" customHeight="1"/>
    <row r="2" ht="27.65" customHeight="1">
      <c r="B2" t="s" s="2">
        <v>55</v>
      </c>
      <c r="C2" s="2"/>
      <c r="D2" s="2"/>
    </row>
    <row r="3" ht="20.25" customHeight="1">
      <c r="B3" s="5"/>
      <c r="C3" t="s" s="38">
        <v>55</v>
      </c>
      <c r="D3" t="s" s="38">
        <v>38</v>
      </c>
    </row>
    <row r="4" ht="20.25" customHeight="1">
      <c r="B4" s="25">
        <v>2018</v>
      </c>
      <c r="C4" s="33">
        <v>8275</v>
      </c>
      <c r="D4" s="34"/>
    </row>
    <row r="5" ht="20.05" customHeight="1">
      <c r="B5" s="29"/>
      <c r="C5" s="17">
        <v>8850</v>
      </c>
      <c r="D5" s="18"/>
    </row>
    <row r="6" ht="20.05" customHeight="1">
      <c r="B6" s="29"/>
      <c r="C6" s="17">
        <v>8825</v>
      </c>
      <c r="D6" s="22"/>
    </row>
    <row r="7" ht="20.05" customHeight="1">
      <c r="B7" s="29"/>
      <c r="C7" s="17">
        <v>10450</v>
      </c>
      <c r="D7" s="22"/>
    </row>
    <row r="8" ht="20.05" customHeight="1">
      <c r="B8" s="30">
        <v>2019</v>
      </c>
      <c r="C8" s="17">
        <v>9325</v>
      </c>
      <c r="D8" s="22"/>
    </row>
    <row r="9" ht="20.05" customHeight="1">
      <c r="B9" s="29"/>
      <c r="C9" s="17">
        <v>10150</v>
      </c>
      <c r="D9" s="22"/>
    </row>
    <row r="10" ht="20.05" customHeight="1">
      <c r="B10" s="29"/>
      <c r="C10" s="17">
        <v>12025</v>
      </c>
      <c r="D10" s="22"/>
    </row>
    <row r="11" ht="20.05" customHeight="1">
      <c r="B11" s="29"/>
      <c r="C11" s="17">
        <v>11150</v>
      </c>
      <c r="D11" s="22"/>
    </row>
    <row r="12" ht="20.05" customHeight="1">
      <c r="B12" s="30">
        <v>2020</v>
      </c>
      <c r="C12" s="17">
        <v>10225</v>
      </c>
      <c r="D12" s="22"/>
    </row>
    <row r="13" ht="20.05" customHeight="1">
      <c r="B13" s="29"/>
      <c r="C13" s="17">
        <v>9350</v>
      </c>
      <c r="D13" s="22"/>
    </row>
    <row r="14" ht="20.05" customHeight="1">
      <c r="B14" s="29"/>
      <c r="C14" s="17">
        <v>10075</v>
      </c>
      <c r="D14" s="22"/>
    </row>
    <row r="15" ht="20.05" customHeight="1">
      <c r="B15" s="29"/>
      <c r="C15" s="17">
        <v>9575</v>
      </c>
      <c r="D15" s="22"/>
    </row>
    <row r="16" ht="20.05" customHeight="1">
      <c r="B16" s="30">
        <v>2021</v>
      </c>
      <c r="C16" s="17">
        <v>9200</v>
      </c>
      <c r="D16" s="22"/>
    </row>
    <row r="17" ht="20.05" customHeight="1">
      <c r="B17" s="29"/>
      <c r="C17" s="17">
        <v>8150</v>
      </c>
      <c r="D17" s="22"/>
    </row>
    <row r="18" ht="20.05" customHeight="1">
      <c r="B18" s="29"/>
      <c r="C18" s="17">
        <v>8350</v>
      </c>
      <c r="D18" s="22"/>
    </row>
    <row r="19" ht="20.05" customHeight="1">
      <c r="B19" s="29"/>
      <c r="C19" s="17">
        <v>8925</v>
      </c>
      <c r="D19" s="18">
        <f>C19</f>
        <v>8925</v>
      </c>
    </row>
    <row r="20" ht="20.05" customHeight="1">
      <c r="B20" s="30">
        <v>2022</v>
      </c>
      <c r="C20" s="17"/>
      <c r="D20" s="18">
        <f>'Model'!F42</f>
        <v>11249.2794595655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