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<sst xmlns="http://schemas.openxmlformats.org/spreadsheetml/2006/main" uniqueCount="56">
  <si>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</si>
  <si>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</si>
  <si>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</si>
  <si>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</si>
  <si>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</si>
  <si>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</si>
  <si>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</si>
  <si>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</si>
  <si>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</si>
  <si>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</si>
  <si>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</si>
  <si>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</si>
  <si>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</si>
  <si>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</si>
  <si>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</si>
  <si>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</si>
  <si>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</si>
  <si>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</si>
  <si>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</si>
  <si>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</si>
  <si>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</si>
  <si>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</si>
  <si>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</si>
  <si>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</si>
  <si>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</si>
  <si>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</si>
  <si>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</si>
  <si>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</si>
  <si>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</si>
  <si>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</si>
  <si>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</si>
  <si>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</si>
  <si>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</si>
  <si>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</si>
  <si>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</si>
  <si>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</si>
  <si>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</si>
  <si>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</si>
  <si>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</si>
  <si>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</si>
  <si>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</si>
  <si>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</si>
  <si>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Non cash costs</t>
  </si>
  <si>
    <t>Others</t>
  </si>
  <si>
    <t>Profit</t>
  </si>
  <si>
    <t xml:space="preserve">Sales growth </t>
  </si>
  <si>
    <t>Cashflow costs</t>
  </si>
  <si>
    <t>Receipts</t>
  </si>
  <si>
    <t>Capex</t>
  </si>
  <si>
    <t xml:space="preserve">Free cashflow </t>
  </si>
  <si>
    <t>Capital</t>
  </si>
  <si>
    <t>Cash</t>
  </si>
  <si>
    <t>Assets</t>
  </si>
  <si>
    <t>Check</t>
  </si>
  <si>
    <t>Share price</t>
  </si>
  <si>
    <t>HRUM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</si>
</sst>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0" fontId="4" borderId="4" applyNumberFormat="0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684288</xdr:colOff>
      <xdr:row>1</xdr:row>
      <xdr:rowOff>311452</xdr:rowOff>
    </xdr:from>
    <xdr:to>
      <xdr:col>13</xdr:col>
      <xdr:colOff>583863</xdr:colOff>
      <xdr:row>47</xdr:row>
      <xdr:rowOff>116797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33987" y="463851"/>
          <a:ext cx="8611777" cy="116201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AVERAGE('Sales'!H22:H25)</f>
        <v>0.459641256529941</v>
      </c>
      <c r="D4" s="9"/>
      <c r="E4" s="9"/>
      <c r="F4" s="10">
        <f>AVERAGE(C5:F5)</f>
        <v>0.07000000000000001</v>
      </c>
    </row>
    <row r="5" ht="20.05" customHeight="1">
      <c r="B5" t="s" s="11">
        <v>4</v>
      </c>
      <c r="C5" s="12">
        <v>0.15</v>
      </c>
      <c r="D5" s="13">
        <v>-0.01</v>
      </c>
      <c r="E5" s="13">
        <v>0.07000000000000001</v>
      </c>
      <c r="F5" s="13">
        <v>0.07000000000000001</v>
      </c>
    </row>
    <row r="6" ht="20.05" customHeight="1">
      <c r="B6" t="s" s="11">
        <v>5</v>
      </c>
      <c r="C6" s="14">
        <f>'Sales'!C25*(1+C5)</f>
        <v>103.27</v>
      </c>
      <c r="D6" s="15">
        <f>C6*(1+D5)</f>
        <v>102.2373</v>
      </c>
      <c r="E6" s="15">
        <f>D6*(1+E5)</f>
        <v>109.393911</v>
      </c>
      <c r="F6" s="15">
        <f>E6*(1+F5)</f>
        <v>117.05148477</v>
      </c>
    </row>
    <row r="7" ht="20.05" customHeight="1">
      <c r="B7" t="s" s="11">
        <v>6</v>
      </c>
      <c r="C7" s="12">
        <f>AVERAGE('Sales'!I24:I25)</f>
        <v>-0.62095897595719</v>
      </c>
      <c r="D7" s="13">
        <f>C7</f>
        <v>-0.62095897595719</v>
      </c>
      <c r="E7" s="13">
        <f>D7</f>
        <v>-0.62095897595719</v>
      </c>
      <c r="F7" s="13">
        <f>E7</f>
        <v>-0.62095897595719</v>
      </c>
    </row>
    <row r="8" ht="20.05" customHeight="1">
      <c r="B8" t="s" s="11">
        <v>7</v>
      </c>
      <c r="C8" s="16">
        <f>C6*C7</f>
        <v>-64.126433447099</v>
      </c>
      <c r="D8" s="17">
        <f>D6*D7</f>
        <v>-63.485169112628</v>
      </c>
      <c r="E8" s="17">
        <f>E6*E7</f>
        <v>-67.929130950512</v>
      </c>
      <c r="F8" s="17">
        <f>F6*F7</f>
        <v>-72.6841701170478</v>
      </c>
    </row>
    <row r="9" ht="20.05" customHeight="1">
      <c r="B9" t="s" s="11">
        <v>8</v>
      </c>
      <c r="C9" s="16">
        <f>C6+C8</f>
        <v>39.143566552901</v>
      </c>
      <c r="D9" s="17">
        <f>D6+D8</f>
        <v>38.752130887372</v>
      </c>
      <c r="E9" s="17">
        <f>E6+E8</f>
        <v>41.464780049488</v>
      </c>
      <c r="F9" s="17">
        <f>F6+F8</f>
        <v>44.3673146529522</v>
      </c>
    </row>
    <row r="10" ht="20.05" customHeight="1">
      <c r="B10" t="s" s="11">
        <v>9</v>
      </c>
      <c r="C10" s="16">
        <f>AVERAGE('Cashflow '!E26)</f>
        <v>-3.4</v>
      </c>
      <c r="D10" s="17">
        <f>C10</f>
        <v>-3.4</v>
      </c>
      <c r="E10" s="17">
        <f>D10</f>
        <v>-3.4</v>
      </c>
      <c r="F10" s="17">
        <f>E10</f>
        <v>-3.4</v>
      </c>
    </row>
    <row r="11" ht="20.05" customHeight="1">
      <c r="B11" t="s" s="11">
        <v>10</v>
      </c>
      <c r="C11" s="16">
        <f>C12+C13+C15</f>
        <v>-29.2261399317406</v>
      </c>
      <c r="D11" s="17">
        <f>D12+D13+D15</f>
        <v>-28.5812785324232</v>
      </c>
      <c r="E11" s="17">
        <f>E12+E13+E15</f>
        <v>-29.8193680296928</v>
      </c>
      <c r="F11" s="17">
        <f>F12+F13+F15</f>
        <v>-31.1908637917713</v>
      </c>
    </row>
    <row r="12" ht="20.05" customHeight="1">
      <c r="B12" t="s" s="11">
        <v>11</v>
      </c>
      <c r="C12" s="16">
        <f>-'Balance sheet'!G26/20</f>
        <v>-8.199999999999999</v>
      </c>
      <c r="D12" s="17">
        <f>-C26/20</f>
        <v>-7.79</v>
      </c>
      <c r="E12" s="17">
        <f>-D26/20</f>
        <v>-7.4005</v>
      </c>
      <c r="F12" s="17">
        <f>-E26/20</f>
        <v>-7.030475</v>
      </c>
    </row>
    <row r="13" ht="20.05" customHeight="1">
      <c r="B13" t="s" s="11">
        <v>12</v>
      </c>
      <c r="C13" s="16">
        <f>IF(C21&gt;0,-C21*0.6,0)</f>
        <v>-21.0261399317406</v>
      </c>
      <c r="D13" s="17">
        <f>IF(D21&gt;0,-D21*0.6,0)</f>
        <v>-20.7912785324232</v>
      </c>
      <c r="E13" s="17">
        <f>IF(E21&gt;0,-E21*0.6,0)</f>
        <v>-22.4188680296928</v>
      </c>
      <c r="F13" s="17">
        <f>IF(F21&gt;0,-F21*0.6,0)</f>
        <v>-24.1603887917713</v>
      </c>
    </row>
    <row r="14" ht="20.05" customHeight="1">
      <c r="B14" t="s" s="11">
        <v>13</v>
      </c>
      <c r="C14" s="16">
        <f>C9+C10+C12+C13</f>
        <v>6.5174266211604</v>
      </c>
      <c r="D14" s="17">
        <f>D9+D10+D12+D13</f>
        <v>6.7708523549488</v>
      </c>
      <c r="E14" s="17">
        <f>E9+E10+E12+E13</f>
        <v>8.2454120197952</v>
      </c>
      <c r="F14" s="17">
        <f>F9+F10+F12+F13</f>
        <v>9.7764508611809</v>
      </c>
    </row>
    <row r="15" ht="20.05" customHeight="1">
      <c r="B15" t="s" s="11">
        <v>14</v>
      </c>
      <c r="C15" s="16">
        <f>-MIN(0,C14)</f>
        <v>0</v>
      </c>
      <c r="D15" s="17">
        <f>-MIN(C27,D14)</f>
        <v>0</v>
      </c>
      <c r="E15" s="17">
        <f>-MIN(D27,E14)</f>
        <v>0</v>
      </c>
      <c r="F15" s="17">
        <f>-MIN(E27,F14)</f>
        <v>0</v>
      </c>
    </row>
    <row r="16" ht="20.05" customHeight="1">
      <c r="B16" t="s" s="11">
        <v>15</v>
      </c>
      <c r="C16" s="16">
        <f>'Balance sheet'!C26</f>
        <v>155</v>
      </c>
      <c r="D16" s="17">
        <f>C18</f>
        <v>161.517426621160</v>
      </c>
      <c r="E16" s="17">
        <f>D18</f>
        <v>168.288278976109</v>
      </c>
      <c r="F16" s="17">
        <f>E18</f>
        <v>176.533690995904</v>
      </c>
    </row>
    <row r="17" ht="20.05" customHeight="1">
      <c r="B17" t="s" s="11">
        <v>16</v>
      </c>
      <c r="C17" s="16">
        <f>C9+C10+C11</f>
        <v>6.5174266211604</v>
      </c>
      <c r="D17" s="17">
        <f>D9+D10+D11</f>
        <v>6.7708523549488</v>
      </c>
      <c r="E17" s="17">
        <f>E9+E10+E11</f>
        <v>8.2454120197952</v>
      </c>
      <c r="F17" s="17">
        <f>F9+F10+F11</f>
        <v>9.7764508611809</v>
      </c>
    </row>
    <row r="18" ht="20.05" customHeight="1">
      <c r="B18" t="s" s="11">
        <v>17</v>
      </c>
      <c r="C18" s="16">
        <f>C16+C17</f>
        <v>161.517426621160</v>
      </c>
      <c r="D18" s="17">
        <f>D16+D17</f>
        <v>168.288278976109</v>
      </c>
      <c r="E18" s="17">
        <f>E16+E17</f>
        <v>176.533690995904</v>
      </c>
      <c r="F18" s="17">
        <f>F16+F17</f>
        <v>186.310141857085</v>
      </c>
    </row>
    <row r="19" ht="20.05" customHeight="1">
      <c r="B19" t="s" s="18">
        <v>18</v>
      </c>
      <c r="C19" s="16"/>
      <c r="D19" s="17"/>
      <c r="E19" s="17"/>
      <c r="F19" s="19"/>
    </row>
    <row r="20" ht="20.05" customHeight="1">
      <c r="B20" t="s" s="11">
        <v>19</v>
      </c>
      <c r="C20" s="16">
        <f>-AVERAGE('Sales'!E25)</f>
        <v>-4.1</v>
      </c>
      <c r="D20" s="17">
        <f>C20</f>
        <v>-4.1</v>
      </c>
      <c r="E20" s="17">
        <f>D20</f>
        <v>-4.1</v>
      </c>
      <c r="F20" s="17">
        <f>E20</f>
        <v>-4.1</v>
      </c>
    </row>
    <row r="21" ht="20.05" customHeight="1">
      <c r="B21" t="s" s="11">
        <v>18</v>
      </c>
      <c r="C21" s="16">
        <f>C6+C8+C20</f>
        <v>35.043566552901</v>
      </c>
      <c r="D21" s="17">
        <f>D6+D8+D20</f>
        <v>34.652130887372</v>
      </c>
      <c r="E21" s="17">
        <f>E6+E8+E20</f>
        <v>37.364780049488</v>
      </c>
      <c r="F21" s="17">
        <f>F6+F8+F20</f>
        <v>40.2673146529522</v>
      </c>
    </row>
    <row r="22" ht="20.05" customHeight="1">
      <c r="B22" t="s" s="18">
        <v>20</v>
      </c>
      <c r="C22" s="16"/>
      <c r="D22" s="17"/>
      <c r="E22" s="17"/>
      <c r="F22" s="17"/>
    </row>
    <row r="23" ht="20.05" customHeight="1">
      <c r="B23" t="s" s="11">
        <v>21</v>
      </c>
      <c r="C23" s="16">
        <f>'Balance sheet'!E26+'Balance sheet'!F26-C10</f>
        <v>706.4</v>
      </c>
      <c r="D23" s="17">
        <f>C23-D10</f>
        <v>709.8</v>
      </c>
      <c r="E23" s="17">
        <f>D23-E10</f>
        <v>713.2</v>
      </c>
      <c r="F23" s="17">
        <f>E23-F10</f>
        <v>716.6</v>
      </c>
    </row>
    <row r="24" ht="20.05" customHeight="1">
      <c r="B24" t="s" s="11">
        <v>22</v>
      </c>
      <c r="C24" s="16">
        <f>'Balance sheet'!F26-C20</f>
        <v>169.1</v>
      </c>
      <c r="D24" s="17">
        <f>C24-D20</f>
        <v>173.2</v>
      </c>
      <c r="E24" s="17">
        <f>D24-E20</f>
        <v>177.3</v>
      </c>
      <c r="F24" s="17">
        <f>E24-F20</f>
        <v>181.4</v>
      </c>
    </row>
    <row r="25" ht="20.05" customHeight="1">
      <c r="B25" t="s" s="11">
        <v>23</v>
      </c>
      <c r="C25" s="16">
        <f>C23-C24</f>
        <v>537.3</v>
      </c>
      <c r="D25" s="17">
        <f>D23-D24</f>
        <v>536.6</v>
      </c>
      <c r="E25" s="17">
        <f>E23-E24</f>
        <v>535.9</v>
      </c>
      <c r="F25" s="17">
        <f>F23-F24</f>
        <v>535.2</v>
      </c>
    </row>
    <row r="26" ht="20.05" customHeight="1">
      <c r="B26" t="s" s="11">
        <v>11</v>
      </c>
      <c r="C26" s="16">
        <f>'Balance sheet'!G26+C12</f>
        <v>155.8</v>
      </c>
      <c r="D26" s="17">
        <f>C26+D12</f>
        <v>148.01</v>
      </c>
      <c r="E26" s="17">
        <f>D26+E12</f>
        <v>140.6095</v>
      </c>
      <c r="F26" s="17">
        <f>E26+F12</f>
        <v>133.579025</v>
      </c>
    </row>
    <row r="27" ht="20.05" customHeight="1">
      <c r="B27" t="s" s="11">
        <v>14</v>
      </c>
      <c r="C27" s="16">
        <f>C15</f>
        <v>0</v>
      </c>
      <c r="D27" s="17">
        <f>C27+D15</f>
        <v>0</v>
      </c>
      <c r="E27" s="17">
        <f>D27+E15</f>
        <v>0</v>
      </c>
      <c r="F27" s="17">
        <f>E27+F15</f>
        <v>0</v>
      </c>
    </row>
    <row r="28" ht="20.05" customHeight="1">
      <c r="B28" t="s" s="11">
        <v>12</v>
      </c>
      <c r="C28" s="16">
        <f>'Balance sheet'!H26+C21+C13</f>
        <v>543.017426621160</v>
      </c>
      <c r="D28" s="17">
        <f>C28+D21+D13</f>
        <v>556.878278976109</v>
      </c>
      <c r="E28" s="17">
        <f>D28+E21+E13</f>
        <v>571.824190995904</v>
      </c>
      <c r="F28" s="17">
        <f>E28+F21+F13</f>
        <v>587.931116857085</v>
      </c>
    </row>
    <row r="29" ht="20.05" customHeight="1">
      <c r="B29" t="s" s="11">
        <v>24</v>
      </c>
      <c r="C29" s="16">
        <f>C26+C27+C28-C18-C25</f>
        <v>0</v>
      </c>
      <c r="D29" s="17">
        <f>D26+D27+D28-D18-D25</f>
        <v>0</v>
      </c>
      <c r="E29" s="17">
        <f>E26+E27+E28-E18-E25</f>
        <v>0</v>
      </c>
      <c r="F29" s="17">
        <f>F26+F27+F28-F18-F25</f>
        <v>0</v>
      </c>
    </row>
    <row r="30" ht="20.05" customHeight="1">
      <c r="B30" t="s" s="11">
        <v>25</v>
      </c>
      <c r="C30" s="16">
        <f>C18-C26-C27</f>
        <v>5.717426621160</v>
      </c>
      <c r="D30" s="17">
        <f>D18-D26-D27</f>
        <v>20.278278976109</v>
      </c>
      <c r="E30" s="17">
        <f>E18-E26-E27</f>
        <v>35.924190995904</v>
      </c>
      <c r="F30" s="17">
        <f>F18-F26-F27</f>
        <v>52.731116857085</v>
      </c>
    </row>
    <row r="31" ht="20.05" customHeight="1">
      <c r="B31" t="s" s="18">
        <v>26</v>
      </c>
      <c r="C31" s="16"/>
      <c r="D31" s="17"/>
      <c r="E31" s="17"/>
      <c r="F31" s="17"/>
    </row>
    <row r="32" ht="20.05" customHeight="1">
      <c r="B32" t="s" s="11">
        <v>27</v>
      </c>
      <c r="C32" s="16"/>
      <c r="D32" s="17"/>
      <c r="E32" s="17"/>
      <c r="F32" s="17">
        <v>14</v>
      </c>
    </row>
    <row r="33" ht="20.05" customHeight="1">
      <c r="B33" t="s" s="11">
        <v>28</v>
      </c>
      <c r="C33" s="16">
        <f>'Cashflow '!L26-C11</f>
        <v>4.9261399317406</v>
      </c>
      <c r="D33" s="17">
        <f>C33-D11</f>
        <v>33.5074184641638</v>
      </c>
      <c r="E33" s="17">
        <f>D33-E11</f>
        <v>63.3267864938566</v>
      </c>
      <c r="F33" s="17">
        <f>E33-F11</f>
        <v>94.51765028562789</v>
      </c>
    </row>
    <row r="34" ht="20.05" customHeight="1">
      <c r="B34" t="s" s="11">
        <v>29</v>
      </c>
      <c r="C34" s="16"/>
      <c r="D34" s="17"/>
      <c r="E34" s="17"/>
      <c r="F34" s="17">
        <f>20020/F32</f>
        <v>1430</v>
      </c>
    </row>
    <row r="35" ht="20.05" customHeight="1">
      <c r="B35" t="s" s="11">
        <v>30</v>
      </c>
      <c r="C35" s="16"/>
      <c r="D35" s="17"/>
      <c r="E35" s="17"/>
      <c r="F35" s="20">
        <f>F34/(F18+F25)</f>
        <v>1.98195412239022</v>
      </c>
    </row>
    <row r="36" ht="20.05" customHeight="1">
      <c r="B36" t="s" s="11">
        <v>31</v>
      </c>
      <c r="C36" s="16"/>
      <c r="D36" s="17"/>
      <c r="E36" s="17"/>
      <c r="F36" s="21">
        <f>-(C13+D13+E13+F13)/F34</f>
        <v>0.0618158568430964</v>
      </c>
    </row>
    <row r="37" ht="20.05" customHeight="1">
      <c r="B37" t="s" s="11">
        <v>32</v>
      </c>
      <c r="C37" s="16"/>
      <c r="D37" s="17"/>
      <c r="E37" s="17"/>
      <c r="F37" s="17">
        <f>SUM(C9:F10)</f>
        <v>150.127792142713</v>
      </c>
    </row>
    <row r="38" ht="20.05" customHeight="1">
      <c r="B38" t="s" s="11">
        <v>33</v>
      </c>
      <c r="C38" s="16"/>
      <c r="D38" s="17"/>
      <c r="E38" s="17"/>
      <c r="F38" s="17">
        <f>'Balance sheet'!E26/F37</f>
        <v>3.58361361558273</v>
      </c>
    </row>
    <row r="39" ht="20.05" customHeight="1">
      <c r="B39" t="s" s="11">
        <v>26</v>
      </c>
      <c r="C39" s="16"/>
      <c r="D39" s="17"/>
      <c r="E39" s="17"/>
      <c r="F39" s="17">
        <f>F34/F37</f>
        <v>9.52521834625149</v>
      </c>
    </row>
    <row r="40" ht="20.05" customHeight="1">
      <c r="B40" t="s" s="11">
        <v>34</v>
      </c>
      <c r="C40" s="16"/>
      <c r="D40" s="17"/>
      <c r="E40" s="17"/>
      <c r="F40" s="17">
        <v>15</v>
      </c>
    </row>
    <row r="41" ht="20.05" customHeight="1">
      <c r="B41" t="s" s="11">
        <v>35</v>
      </c>
      <c r="C41" s="16"/>
      <c r="D41" s="17"/>
      <c r="E41" s="17"/>
      <c r="F41" s="17">
        <f>F37*F40</f>
        <v>2251.9168821407</v>
      </c>
    </row>
    <row r="42" ht="20.05" customHeight="1">
      <c r="B42" t="s" s="11">
        <v>36</v>
      </c>
      <c r="C42" s="16"/>
      <c r="D42" s="17"/>
      <c r="E42" s="17"/>
      <c r="F42" s="17">
        <f>20020/F44</f>
        <v>2.52618296529968</v>
      </c>
    </row>
    <row r="43" ht="20.05" customHeight="1">
      <c r="B43" t="s" s="11">
        <v>37</v>
      </c>
      <c r="C43" s="16"/>
      <c r="D43" s="17"/>
      <c r="E43" s="17"/>
      <c r="F43" s="17">
        <f>(F41/F42)*F32</f>
        <v>12480.0288748008</v>
      </c>
    </row>
    <row r="44" ht="20.05" customHeight="1">
      <c r="B44" t="s" s="11">
        <v>38</v>
      </c>
      <c r="C44" s="16"/>
      <c r="D44" s="17"/>
      <c r="E44" s="17"/>
      <c r="F44" s="17">
        <f>'Share price '!C74</f>
        <v>7925</v>
      </c>
    </row>
    <row r="45" ht="20.05" customHeight="1">
      <c r="B45" t="s" s="11">
        <v>39</v>
      </c>
      <c r="C45" s="16"/>
      <c r="D45" s="17"/>
      <c r="E45" s="17"/>
      <c r="F45" s="21">
        <f>F43/F44-1</f>
        <v>0.57476705044805</v>
      </c>
    </row>
    <row r="46" ht="20.05" customHeight="1">
      <c r="B46" t="s" s="11">
        <v>40</v>
      </c>
      <c r="C46" s="16"/>
      <c r="D46" s="17"/>
      <c r="E46" s="17"/>
      <c r="F46" s="21">
        <f>'Sales'!C25/'Sales'!C21-1</f>
        <v>1.72121212121212</v>
      </c>
    </row>
    <row r="47" ht="20.05" customHeight="1">
      <c r="B47" t="s" s="11">
        <v>41</v>
      </c>
      <c r="C47" s="16"/>
      <c r="D47" s="17"/>
      <c r="E47" s="17"/>
      <c r="F47" s="21">
        <f>('Sales'!D22+'Sales'!D25+'Sales'!D23+'Sales'!D24)/('Sales'!C22+'Sales'!C23+'Sales'!C25+'Sales'!C24)-1</f>
        <v>-0.153537175538935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1" width="10.9688" style="22" customWidth="1"/>
    <col min="12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4">
        <v>1</v>
      </c>
      <c r="C2" t="s" s="4">
        <v>5</v>
      </c>
      <c r="D2" t="s" s="4">
        <v>34</v>
      </c>
      <c r="E2" t="s" s="4">
        <v>42</v>
      </c>
      <c r="F2" t="s" s="4">
        <v>43</v>
      </c>
      <c r="G2" t="s" s="4">
        <v>44</v>
      </c>
      <c r="H2" t="s" s="4">
        <v>45</v>
      </c>
      <c r="I2" t="s" s="4">
        <v>6</v>
      </c>
      <c r="J2" t="s" s="4">
        <v>46</v>
      </c>
      <c r="K2" t="s" s="4">
        <v>46</v>
      </c>
    </row>
    <row r="3" ht="20.25" customHeight="1">
      <c r="B3" s="23">
        <v>2016</v>
      </c>
      <c r="C3" s="24">
        <v>44</v>
      </c>
      <c r="D3" s="25"/>
      <c r="E3" s="25">
        <v>3.075</v>
      </c>
      <c r="F3" s="25"/>
      <c r="G3" s="25">
        <v>1.5</v>
      </c>
      <c r="H3" s="10"/>
      <c r="I3" s="10">
        <f>(G3+E3-F3-C3)/C3</f>
        <v>-0.896022727272727</v>
      </c>
      <c r="J3" s="10"/>
      <c r="K3" s="10">
        <f>('Cashflow '!D4-'Cashflow '!C4)/'Cashflow '!C4</f>
        <v>-0.888095238095238</v>
      </c>
    </row>
    <row r="4" ht="20.05" customHeight="1">
      <c r="B4" s="26"/>
      <c r="C4" s="16">
        <v>36</v>
      </c>
      <c r="D4" s="17"/>
      <c r="E4" s="17">
        <v>3.075</v>
      </c>
      <c r="F4" s="17"/>
      <c r="G4" s="17">
        <v>3.9</v>
      </c>
      <c r="H4" s="13">
        <f>C4/C3-1</f>
        <v>-0.181818181818182</v>
      </c>
      <c r="I4" s="13">
        <f>(G4+E4-F4-C4)/C4</f>
        <v>-0.80625</v>
      </c>
      <c r="J4" s="13"/>
      <c r="K4" s="13">
        <f>('Cashflow '!D5-'Cashflow '!C5)/'Cashflow '!C5</f>
        <v>-1.07058823529412</v>
      </c>
    </row>
    <row r="5" ht="20.05" customHeight="1">
      <c r="B5" s="26"/>
      <c r="C5" s="16">
        <v>50</v>
      </c>
      <c r="D5" s="17"/>
      <c r="E5" s="17">
        <v>3.075</v>
      </c>
      <c r="F5" s="17"/>
      <c r="G5" s="17">
        <v>7.6</v>
      </c>
      <c r="H5" s="13">
        <f>C5/C4-1</f>
        <v>0.388888888888889</v>
      </c>
      <c r="I5" s="13">
        <f>(G5+E5-F5-C5)/C5</f>
        <v>-0.7865</v>
      </c>
      <c r="J5" s="13"/>
      <c r="K5" s="13">
        <f>('Cashflow '!D6-'Cashflow '!C6)/'Cashflow '!C6</f>
        <v>-0.745238095238095</v>
      </c>
    </row>
    <row r="6" ht="20.05" customHeight="1">
      <c r="B6" s="26"/>
      <c r="C6" s="16">
        <v>87</v>
      </c>
      <c r="D6" s="17"/>
      <c r="E6" s="17">
        <v>3.075</v>
      </c>
      <c r="F6" s="17"/>
      <c r="G6" s="17">
        <v>5</v>
      </c>
      <c r="H6" s="13">
        <f>C6/C5-1</f>
        <v>0.74</v>
      </c>
      <c r="I6" s="13">
        <f>(G6+E6-F6-C6)/C6</f>
        <v>-0.907183908045977</v>
      </c>
      <c r="J6" s="13"/>
      <c r="K6" s="13">
        <f>('Cashflow '!D7-'Cashflow '!C7)/'Cashflow '!C7</f>
        <v>-0.623529411764706</v>
      </c>
    </row>
    <row r="7" ht="20.05" customHeight="1">
      <c r="B7" s="27">
        <v>2017</v>
      </c>
      <c r="C7" s="16">
        <v>79</v>
      </c>
      <c r="D7" s="17"/>
      <c r="E7" s="17">
        <v>3.075</v>
      </c>
      <c r="F7" s="17"/>
      <c r="G7" s="17">
        <v>15.1</v>
      </c>
      <c r="H7" s="13">
        <f>C7/C6-1</f>
        <v>-0.0919540229885057</v>
      </c>
      <c r="I7" s="13">
        <f>(G7+E7-F7-C7)/C7</f>
        <v>-0.769936708860759</v>
      </c>
      <c r="J7" s="13">
        <f>AVERAGE(K4:K7)</f>
        <v>-0.849564962971491</v>
      </c>
      <c r="K7" s="13">
        <f>('Cashflow '!D8-'Cashflow '!C8)/'Cashflow '!C8</f>
        <v>-0.958904109589041</v>
      </c>
    </row>
    <row r="8" ht="20.05" customHeight="1">
      <c r="B8" s="26"/>
      <c r="C8" s="16">
        <v>86</v>
      </c>
      <c r="D8" s="17"/>
      <c r="E8" s="17">
        <v>3.075</v>
      </c>
      <c r="F8" s="17"/>
      <c r="G8" s="17">
        <v>11.9</v>
      </c>
      <c r="H8" s="13">
        <f>C8/C7-1</f>
        <v>0.0886075949367089</v>
      </c>
      <c r="I8" s="13">
        <f>(G8+E8-F8-C8)/C8</f>
        <v>-0.825872093023256</v>
      </c>
      <c r="J8" s="13">
        <f>AVERAGE(K5:K8)</f>
        <v>-0.764270845324431</v>
      </c>
      <c r="K8" s="13">
        <f>('Cashflow '!D9-'Cashflow '!C9)/'Cashflow '!C9</f>
        <v>-0.729411764705882</v>
      </c>
    </row>
    <row r="9" ht="20.05" customHeight="1">
      <c r="B9" s="26"/>
      <c r="C9" s="16">
        <v>74</v>
      </c>
      <c r="D9" s="17"/>
      <c r="E9" s="17">
        <v>3.075</v>
      </c>
      <c r="F9" s="17"/>
      <c r="G9" s="17">
        <v>13</v>
      </c>
      <c r="H9" s="13">
        <f>C9/C8-1</f>
        <v>-0.13953488372093</v>
      </c>
      <c r="I9" s="13">
        <f>(G9+E9-F9-C9)/C9</f>
        <v>-0.78277027027027</v>
      </c>
      <c r="J9" s="13">
        <f>AVERAGE(K6:K9)</f>
        <v>-0.838235294117647</v>
      </c>
      <c r="K9" s="13">
        <f>('Cashflow '!D10-'Cashflow '!C10)/'Cashflow '!C10</f>
        <v>-1.04109589041096</v>
      </c>
    </row>
    <row r="10" ht="20.05" customHeight="1">
      <c r="B10" s="26"/>
      <c r="C10" s="16">
        <v>87</v>
      </c>
      <c r="D10" s="17"/>
      <c r="E10" s="17">
        <v>3.075</v>
      </c>
      <c r="F10" s="17"/>
      <c r="G10" s="17">
        <v>15.7</v>
      </c>
      <c r="H10" s="13">
        <f>C10/C9-1</f>
        <v>0.175675675675676</v>
      </c>
      <c r="I10" s="13">
        <f>(G10+E10-F10-C10)/C10</f>
        <v>-0.784195402298851</v>
      </c>
      <c r="J10" s="13">
        <f>AVERAGE(K7:K10)</f>
        <v>-0.847406704617331</v>
      </c>
      <c r="K10" s="13">
        <f>('Cashflow '!D11-'Cashflow '!C11)/'Cashflow '!C11</f>
        <v>-0.660215053763441</v>
      </c>
    </row>
    <row r="11" ht="20.05" customHeight="1">
      <c r="B11" s="27">
        <v>2018</v>
      </c>
      <c r="C11" s="16">
        <v>87</v>
      </c>
      <c r="D11" s="17"/>
      <c r="E11" s="17">
        <v>3.75</v>
      </c>
      <c r="F11" s="17"/>
      <c r="G11" s="17">
        <v>15.7</v>
      </c>
      <c r="H11" s="13">
        <f>C11/C10-1</f>
        <v>0</v>
      </c>
      <c r="I11" s="13">
        <f>(G11+E11-F11-C11)/C11</f>
        <v>-0.776436781609195</v>
      </c>
      <c r="J11" s="13">
        <f>AVERAGE(K8:K11)</f>
        <v>-0.817855095824722</v>
      </c>
      <c r="K11" s="13">
        <f>('Cashflow '!D12-'Cashflow '!C12)/'Cashflow '!C12</f>
        <v>-0.840697674418605</v>
      </c>
    </row>
    <row r="12" ht="20.05" customHeight="1">
      <c r="B12" s="26"/>
      <c r="C12" s="16">
        <v>66</v>
      </c>
      <c r="D12" s="17"/>
      <c r="E12" s="17">
        <v>3.75</v>
      </c>
      <c r="F12" s="17"/>
      <c r="G12" s="17">
        <v>6.3</v>
      </c>
      <c r="H12" s="13">
        <f>C12/C11-1</f>
        <v>-0.241379310344828</v>
      </c>
      <c r="I12" s="13">
        <f>(G12+E12-F12-C12)/C12</f>
        <v>-0.847727272727273</v>
      </c>
      <c r="J12" s="13">
        <f>AVERAGE(K9:K12)</f>
        <v>-0.854083235729333</v>
      </c>
      <c r="K12" s="13">
        <f>('Cashflow '!D13-'Cashflow '!C13)/'Cashflow '!C13</f>
        <v>-0.8743243243243241</v>
      </c>
    </row>
    <row r="13" ht="20.05" customHeight="1">
      <c r="B13" s="26"/>
      <c r="C13" s="16">
        <v>80</v>
      </c>
      <c r="D13" s="17"/>
      <c r="E13" s="17">
        <v>3.75</v>
      </c>
      <c r="F13" s="17"/>
      <c r="G13" s="17">
        <v>7.5</v>
      </c>
      <c r="H13" s="13">
        <f>C13/C12-1</f>
        <v>0.212121212121212</v>
      </c>
      <c r="I13" s="13">
        <f>(G13+E13-F13-C13)/C13</f>
        <v>-0.859375</v>
      </c>
      <c r="J13" s="13">
        <f>AVERAGE(K10:K13)</f>
        <v>-0.810721027832475</v>
      </c>
      <c r="K13" s="13">
        <f>('Cashflow '!D14-'Cashflow '!C14)/'Cashflow '!C14</f>
        <v>-0.867647058823529</v>
      </c>
    </row>
    <row r="14" ht="20.05" customHeight="1">
      <c r="B14" s="26"/>
      <c r="C14" s="16">
        <v>104</v>
      </c>
      <c r="D14" s="17"/>
      <c r="E14" s="17">
        <v>3.75</v>
      </c>
      <c r="F14" s="17"/>
      <c r="G14" s="17">
        <v>10.5</v>
      </c>
      <c r="H14" s="13">
        <f>C14/C13-1</f>
        <v>0.3</v>
      </c>
      <c r="I14" s="13">
        <f>(G14+E14-F14-C14)/C14</f>
        <v>-0.8629807692307691</v>
      </c>
      <c r="J14" s="13">
        <f>AVERAGE(K11:K14)</f>
        <v>-0.9135965573209071</v>
      </c>
      <c r="K14" s="13">
        <f>('Cashflow '!D15-'Cashflow '!C15)/'Cashflow '!C15</f>
        <v>-1.07171717171717</v>
      </c>
    </row>
    <row r="15" ht="20.05" customHeight="1">
      <c r="B15" s="27">
        <v>2019</v>
      </c>
      <c r="C15" s="16">
        <v>72</v>
      </c>
      <c r="D15" s="17"/>
      <c r="E15" s="17">
        <v>3.525</v>
      </c>
      <c r="F15" s="17"/>
      <c r="G15" s="17">
        <v>7</v>
      </c>
      <c r="H15" s="13">
        <f>C15/C14-1</f>
        <v>-0.307692307692308</v>
      </c>
      <c r="I15" s="13">
        <f>(G15+E15-F15-C15)/C15</f>
        <v>-0.853819444444444</v>
      </c>
      <c r="J15" s="13">
        <f>AVERAGE(K12:K15)</f>
        <v>-0.920769077491766</v>
      </c>
      <c r="K15" s="13">
        <f>('Cashflow '!D16-'Cashflow '!C16)/'Cashflow '!C16</f>
        <v>-0.869387755102041</v>
      </c>
    </row>
    <row r="16" ht="20.05" customHeight="1">
      <c r="B16" s="26"/>
      <c r="C16" s="16">
        <v>68</v>
      </c>
      <c r="D16" s="17"/>
      <c r="E16" s="17">
        <v>3.525</v>
      </c>
      <c r="F16" s="17"/>
      <c r="G16" s="17">
        <v>7.2</v>
      </c>
      <c r="H16" s="13">
        <f>C16/C15-1</f>
        <v>-0.0555555555555556</v>
      </c>
      <c r="I16" s="13">
        <f>(G16+E16-F16-C16)/C16</f>
        <v>-0.842279411764706</v>
      </c>
      <c r="J16" s="13">
        <f>AVERAGE(K13:K16)</f>
        <v>-0.961447255669945</v>
      </c>
      <c r="K16" s="13">
        <f>('Cashflow '!D17-'Cashflow '!C17)/'Cashflow '!C17</f>
        <v>-1.03703703703704</v>
      </c>
    </row>
    <row r="17" ht="20.05" customHeight="1">
      <c r="B17" s="26"/>
      <c r="C17" s="16">
        <v>60</v>
      </c>
      <c r="D17" s="17"/>
      <c r="E17" s="17">
        <v>3.525</v>
      </c>
      <c r="F17" s="17"/>
      <c r="G17" s="17">
        <v>3.9</v>
      </c>
      <c r="H17" s="13">
        <f>C17/C16-1</f>
        <v>-0.117647058823529</v>
      </c>
      <c r="I17" s="13">
        <f>(G17+E17-F17-C17)/C17</f>
        <v>-0.87625</v>
      </c>
      <c r="J17" s="13">
        <f>AVERAGE(K14:K17)</f>
        <v>-0.964710929560554</v>
      </c>
      <c r="K17" s="13">
        <f>('Cashflow '!D18-'Cashflow '!C18)/'Cashflow '!C18</f>
        <v>-0.880701754385965</v>
      </c>
    </row>
    <row r="18" ht="20.05" customHeight="1">
      <c r="B18" s="26"/>
      <c r="C18" s="16">
        <v>63</v>
      </c>
      <c r="D18" s="17"/>
      <c r="E18" s="17">
        <v>3.525</v>
      </c>
      <c r="F18" s="17"/>
      <c r="G18" s="17">
        <v>2</v>
      </c>
      <c r="H18" s="13">
        <f>C18/C17-1</f>
        <v>0.05</v>
      </c>
      <c r="I18" s="13">
        <f>(G18+E18-F18-C18)/C18</f>
        <v>-0.9123015873015869</v>
      </c>
      <c r="J18" s="13">
        <f>AVERAGE(K15:K18)</f>
        <v>-0.924054363903989</v>
      </c>
      <c r="K18" s="13">
        <f>('Cashflow '!D19-'Cashflow '!C19)/'Cashflow '!C19</f>
        <v>-0.9090909090909089</v>
      </c>
    </row>
    <row r="19" ht="20.05" customHeight="1">
      <c r="B19" s="27">
        <v>2020</v>
      </c>
      <c r="C19" s="16">
        <v>61</v>
      </c>
      <c r="D19" s="17"/>
      <c r="E19" s="17">
        <v>4.06666666666667</v>
      </c>
      <c r="F19" s="17">
        <v>5</v>
      </c>
      <c r="G19" s="17">
        <v>2</v>
      </c>
      <c r="H19" s="13">
        <f>C19/C18-1</f>
        <v>-0.0317460317460317</v>
      </c>
      <c r="I19" s="13">
        <f>(G19+E19+F19-C19)/C19</f>
        <v>-0.818579234972678</v>
      </c>
      <c r="J19" s="13">
        <f>AVERAGE(K16:K19)</f>
        <v>-0.878298334219388</v>
      </c>
      <c r="K19" s="13">
        <f>('Cashflow '!D20-'Cashflow '!C20)/'Cashflow '!C20</f>
        <v>-0.686363636363636</v>
      </c>
    </row>
    <row r="20" ht="20.05" customHeight="1">
      <c r="B20" s="26"/>
      <c r="C20" s="16">
        <v>42</v>
      </c>
      <c r="D20" s="17"/>
      <c r="E20" s="17">
        <v>4.06666666666667</v>
      </c>
      <c r="F20" s="17">
        <v>-18</v>
      </c>
      <c r="G20" s="17">
        <v>21.9</v>
      </c>
      <c r="H20" s="13">
        <f>C20/C19-1</f>
        <v>-0.311475409836066</v>
      </c>
      <c r="I20" s="13">
        <f>(G20+E20+F20-C20)/C20</f>
        <v>-0.81031746031746</v>
      </c>
      <c r="J20" s="13">
        <f>AVERAGE(K17:K20)</f>
        <v>-0.745175438596491</v>
      </c>
      <c r="K20" s="13">
        <f>('Cashflow '!D21-'Cashflow '!C21)/'Cashflow '!C21</f>
        <v>-0.504545454545455</v>
      </c>
    </row>
    <row r="21" ht="20.05" customHeight="1">
      <c r="B21" s="26"/>
      <c r="C21" s="16">
        <v>33</v>
      </c>
      <c r="D21" s="17"/>
      <c r="E21" s="17">
        <v>4.06666666666667</v>
      </c>
      <c r="F21" s="17">
        <v>-5</v>
      </c>
      <c r="G21" s="17">
        <v>3.4</v>
      </c>
      <c r="H21" s="13">
        <f>C21/C20-1</f>
        <v>-0.214285714285714</v>
      </c>
      <c r="I21" s="13">
        <f>(G21+E21+F21-C21)/C21</f>
        <v>-0.925252525252525</v>
      </c>
      <c r="J21" s="13">
        <f>AVERAGE(K18:K21)</f>
        <v>-0.758088235294118</v>
      </c>
      <c r="K21" s="13">
        <f>('Cashflow '!D22-'Cashflow '!C22)/'Cashflow '!C22</f>
        <v>-0.9323529411764711</v>
      </c>
    </row>
    <row r="22" ht="20.05" customHeight="1">
      <c r="B22" s="26"/>
      <c r="C22" s="16">
        <f>157.8-SUM(C19:C21)</f>
        <v>21.8</v>
      </c>
      <c r="D22" s="17">
        <v>44.55</v>
      </c>
      <c r="E22" s="17">
        <v>4</v>
      </c>
      <c r="F22" s="17">
        <v>-38</v>
      </c>
      <c r="G22" s="17">
        <f>60-SUM(G19:G21)</f>
        <v>32.7</v>
      </c>
      <c r="H22" s="13">
        <f>C22/C21-1</f>
        <v>-0.339393939393939</v>
      </c>
      <c r="I22" s="13">
        <f>(G22+E22+F22-C22)/C22</f>
        <v>-1.05963302752294</v>
      </c>
      <c r="J22" s="13">
        <f>AVERAGE(K19:K22)</f>
        <v>-0.754451871657754</v>
      </c>
      <c r="K22" s="13">
        <f>('Cashflow '!D23-'Cashflow '!C23)/'Cashflow '!C23</f>
        <v>-0.894545454545455</v>
      </c>
    </row>
    <row r="23" ht="20.05" customHeight="1">
      <c r="B23" s="27">
        <v>2021</v>
      </c>
      <c r="C23" s="16">
        <v>57.1</v>
      </c>
      <c r="D23" s="17">
        <v>23</v>
      </c>
      <c r="E23" s="17">
        <f>2.5+0.3+1.4</f>
        <v>4.2</v>
      </c>
      <c r="F23" s="17">
        <v>-9</v>
      </c>
      <c r="G23" s="17">
        <v>22.1</v>
      </c>
      <c r="H23" s="13">
        <f>C23/C22-1</f>
        <v>1.61926605504587</v>
      </c>
      <c r="I23" s="13">
        <f>(G23+E23+F23-C23)/C23</f>
        <v>-0.697022767075306</v>
      </c>
      <c r="J23" s="13">
        <f>AVERAGE(K20:K23)</f>
        <v>-0.747271020593925</v>
      </c>
      <c r="K23" s="13">
        <f>('Cashflow '!D24-'Cashflow '!C24)/'Cashflow '!C24</f>
        <v>-0.657640232108317</v>
      </c>
    </row>
    <row r="24" ht="20.05" customHeight="1">
      <c r="B24" s="26"/>
      <c r="C24" s="16">
        <f>115.7-C23</f>
        <v>58.6</v>
      </c>
      <c r="D24" s="17">
        <v>65.66500000000001</v>
      </c>
      <c r="E24" s="17">
        <f>8.5-E23</f>
        <v>4.3</v>
      </c>
      <c r="F24" s="17">
        <v>18</v>
      </c>
      <c r="G24" s="17">
        <f>19.1-G23</f>
        <v>-3</v>
      </c>
      <c r="H24" s="13">
        <f>C24/C23-1</f>
        <v>0.0262697022767075</v>
      </c>
      <c r="I24" s="13">
        <f>(G24+E24+F24-C24)/C24</f>
        <v>-0.670648464163823</v>
      </c>
      <c r="J24" s="13">
        <f>AVERAGE(K21:K24)</f>
        <v>-0.763930540319482</v>
      </c>
      <c r="K24" s="13">
        <f>('Cashflow '!D25-'Cashflow '!C25)/'Cashflow '!C25</f>
        <v>-0.571183533447684</v>
      </c>
    </row>
    <row r="25" ht="20.05" customHeight="1">
      <c r="B25" s="26"/>
      <c r="C25" s="16">
        <f>205.5-SUM(C23:C24)</f>
        <v>89.8</v>
      </c>
      <c r="D25" s="28">
        <v>59.186</v>
      </c>
      <c r="E25" s="17">
        <f>12.6-SUM(E23:E24)</f>
        <v>4.1</v>
      </c>
      <c r="F25" s="17">
        <f>10.6-0.1-SUM(F23:F24)</f>
        <v>1.5</v>
      </c>
      <c r="G25" s="17">
        <f>52-SUM(G23:G24)</f>
        <v>32.9</v>
      </c>
      <c r="H25" s="13">
        <f>C25/C24-1</f>
        <v>0.532423208191126</v>
      </c>
      <c r="I25" s="13">
        <f>(G25+E25+F25-C25)/C25</f>
        <v>-0.571269487750557</v>
      </c>
      <c r="J25" s="13">
        <f>AVERAGE(K22:K25)</f>
        <v>-0.698752752786558</v>
      </c>
      <c r="K25" s="13">
        <f>('Cashflow '!D26-'Cashflow '!C26)/'Cashflow '!C26</f>
        <v>-0.6716417910447759</v>
      </c>
    </row>
    <row r="26" ht="20.05" customHeight="1">
      <c r="B26" s="26"/>
      <c r="C26" s="16"/>
      <c r="D26" s="28">
        <f>'Model'!C6</f>
        <v>103.27</v>
      </c>
      <c r="E26" s="17"/>
      <c r="F26" s="17"/>
      <c r="G26" s="17"/>
      <c r="H26" s="13"/>
      <c r="I26" s="13">
        <f>'Model'!C7</f>
        <v>-0.62095897595719</v>
      </c>
      <c r="J26" s="13"/>
      <c r="K26" s="13"/>
    </row>
    <row r="27" ht="20.05" customHeight="1">
      <c r="B27" s="27">
        <v>2022</v>
      </c>
      <c r="C27" s="16"/>
      <c r="D27" s="17">
        <f>'Model'!D6</f>
        <v>102.2373</v>
      </c>
      <c r="E27" s="17"/>
      <c r="F27" s="17"/>
      <c r="G27" s="17"/>
      <c r="H27" s="13"/>
      <c r="I27" s="13"/>
      <c r="J27" s="13"/>
      <c r="K27" s="13"/>
    </row>
    <row r="28" ht="20.05" customHeight="1">
      <c r="B28" s="26"/>
      <c r="C28" s="16"/>
      <c r="D28" s="17">
        <f>'Model'!E6</f>
        <v>109.393911</v>
      </c>
      <c r="E28" s="17"/>
      <c r="F28" s="17"/>
      <c r="G28" s="17"/>
      <c r="H28" s="13"/>
      <c r="I28" s="13"/>
      <c r="J28" s="13"/>
      <c r="K28" s="13"/>
    </row>
    <row r="29" ht="20.05" customHeight="1">
      <c r="B29" s="26"/>
      <c r="C29" s="16"/>
      <c r="D29" s="17">
        <f>'Model'!F6</f>
        <v>117.05148477</v>
      </c>
      <c r="E29" s="17"/>
      <c r="F29" s="17"/>
      <c r="G29" s="17"/>
      <c r="H29" s="13"/>
      <c r="I29" s="13"/>
      <c r="J29" s="13"/>
      <c r="K29" s="13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10.1797" style="29" customWidth="1"/>
    <col min="3" max="12" width="9.46875" style="29" customWidth="1"/>
    <col min="13" max="16384" width="16.3516" style="29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47</v>
      </c>
      <c r="D3" t="s" s="4">
        <v>8</v>
      </c>
      <c r="E3" t="s" s="4">
        <v>48</v>
      </c>
      <c r="F3" t="s" s="4">
        <v>9</v>
      </c>
      <c r="G3" t="s" s="4">
        <v>11</v>
      </c>
      <c r="H3" t="s" s="4">
        <v>12</v>
      </c>
      <c r="I3" t="s" s="4">
        <v>10</v>
      </c>
      <c r="J3" t="s" s="4">
        <v>49</v>
      </c>
      <c r="K3" t="s" s="4">
        <v>32</v>
      </c>
      <c r="L3" t="s" s="4">
        <v>50</v>
      </c>
    </row>
    <row r="4" ht="21.4" customHeight="1">
      <c r="B4" s="23">
        <v>2016</v>
      </c>
      <c r="C4" s="24">
        <v>42</v>
      </c>
      <c r="D4" s="25">
        <v>4.7</v>
      </c>
      <c r="E4" s="25"/>
      <c r="F4" s="25">
        <v>-1</v>
      </c>
      <c r="G4" s="25"/>
      <c r="H4" s="25"/>
      <c r="I4" s="25">
        <v>-0.3</v>
      </c>
      <c r="J4" s="30">
        <f>D4+F4</f>
        <v>3.7</v>
      </c>
      <c r="K4" s="30"/>
      <c r="L4" s="25">
        <f>-I4</f>
        <v>0.3</v>
      </c>
    </row>
    <row r="5" ht="21.2" customHeight="1">
      <c r="B5" s="26"/>
      <c r="C5" s="16">
        <v>34</v>
      </c>
      <c r="D5" s="17">
        <v>-2.4</v>
      </c>
      <c r="E5" s="17"/>
      <c r="F5" s="17">
        <v>-2.7</v>
      </c>
      <c r="G5" s="17"/>
      <c r="H5" s="17"/>
      <c r="I5" s="17">
        <v>-0.1</v>
      </c>
      <c r="J5" s="31">
        <f>D5+F5</f>
        <v>-5.1</v>
      </c>
      <c r="K5" s="31"/>
      <c r="L5" s="17">
        <f>-I5+L4</f>
        <v>0.4</v>
      </c>
    </row>
    <row r="6" ht="21.2" customHeight="1">
      <c r="B6" s="26"/>
      <c r="C6" s="16">
        <v>42</v>
      </c>
      <c r="D6" s="17">
        <v>10.7</v>
      </c>
      <c r="E6" s="17"/>
      <c r="F6" s="17">
        <v>0.1</v>
      </c>
      <c r="G6" s="17"/>
      <c r="H6" s="17"/>
      <c r="I6" s="17">
        <v>-2.3</v>
      </c>
      <c r="J6" s="31">
        <f>D6+F6</f>
        <v>10.8</v>
      </c>
      <c r="K6" s="31"/>
      <c r="L6" s="17">
        <f>-I6+L5</f>
        <v>2.7</v>
      </c>
    </row>
    <row r="7" ht="21.2" customHeight="1">
      <c r="B7" s="26"/>
      <c r="C7" s="16">
        <v>85</v>
      </c>
      <c r="D7" s="17">
        <v>32</v>
      </c>
      <c r="E7" s="17"/>
      <c r="F7" s="17">
        <v>-1.1</v>
      </c>
      <c r="G7" s="17"/>
      <c r="H7" s="17"/>
      <c r="I7" s="17">
        <v>-2.2</v>
      </c>
      <c r="J7" s="31">
        <f>D7+F7</f>
        <v>30.9</v>
      </c>
      <c r="K7" s="31"/>
      <c r="L7" s="17">
        <f>-I7+L6</f>
        <v>4.9</v>
      </c>
    </row>
    <row r="8" ht="21.2" customHeight="1">
      <c r="B8" s="27">
        <v>2017</v>
      </c>
      <c r="C8" s="16">
        <v>73</v>
      </c>
      <c r="D8" s="17">
        <v>3</v>
      </c>
      <c r="E8" s="17"/>
      <c r="F8" s="17">
        <v>0.2</v>
      </c>
      <c r="G8" s="17"/>
      <c r="H8" s="17"/>
      <c r="I8" s="17">
        <v>-2</v>
      </c>
      <c r="J8" s="31">
        <f>D8+F8</f>
        <v>3.2</v>
      </c>
      <c r="K8" s="31">
        <f>AVERAGE(J5:J8)</f>
        <v>9.949999999999999</v>
      </c>
      <c r="L8" s="17">
        <f>-I8+L7</f>
        <v>6.9</v>
      </c>
    </row>
    <row r="9" ht="21.2" customHeight="1">
      <c r="B9" s="26"/>
      <c r="C9" s="16">
        <v>85</v>
      </c>
      <c r="D9" s="17">
        <v>23</v>
      </c>
      <c r="E9" s="17"/>
      <c r="F9" s="17">
        <v>-2.4</v>
      </c>
      <c r="G9" s="17"/>
      <c r="H9" s="17"/>
      <c r="I9" s="17">
        <v>-5.5</v>
      </c>
      <c r="J9" s="31">
        <f>D9+F9</f>
        <v>20.6</v>
      </c>
      <c r="K9" s="31">
        <f>AVERAGE(J6:J9)</f>
        <v>16.375</v>
      </c>
      <c r="L9" s="17">
        <f>-I9+L8</f>
        <v>12.4</v>
      </c>
    </row>
    <row r="10" ht="21.2" customHeight="1">
      <c r="B10" s="26"/>
      <c r="C10" s="16">
        <v>73</v>
      </c>
      <c r="D10" s="17">
        <v>-3</v>
      </c>
      <c r="E10" s="17"/>
      <c r="F10" s="17">
        <v>-0.1</v>
      </c>
      <c r="G10" s="17"/>
      <c r="H10" s="17"/>
      <c r="I10" s="17">
        <v>-3.2</v>
      </c>
      <c r="J10" s="31">
        <f>D10+F10</f>
        <v>-3.1</v>
      </c>
      <c r="K10" s="31">
        <f>AVERAGE(J7:J10)</f>
        <v>12.9</v>
      </c>
      <c r="L10" s="17">
        <f>-I10+L9</f>
        <v>15.6</v>
      </c>
    </row>
    <row r="11" ht="21.2" customHeight="1">
      <c r="B11" s="26"/>
      <c r="C11" s="16">
        <v>93</v>
      </c>
      <c r="D11" s="17">
        <v>31.6</v>
      </c>
      <c r="E11" s="17"/>
      <c r="F11" s="17">
        <v>-6.3</v>
      </c>
      <c r="G11" s="17"/>
      <c r="H11" s="17"/>
      <c r="I11" s="17">
        <v>0</v>
      </c>
      <c r="J11" s="31">
        <f>D11+F11</f>
        <v>25.3</v>
      </c>
      <c r="K11" s="31">
        <f>AVERAGE(J8:J11)</f>
        <v>11.5</v>
      </c>
      <c r="L11" s="17">
        <f>-I11+L10</f>
        <v>15.6</v>
      </c>
    </row>
    <row r="12" ht="21.2" customHeight="1">
      <c r="B12" s="27">
        <v>2018</v>
      </c>
      <c r="C12" s="16">
        <v>86</v>
      </c>
      <c r="D12" s="17">
        <v>13.7</v>
      </c>
      <c r="E12" s="17"/>
      <c r="F12" s="17">
        <v>-0.6</v>
      </c>
      <c r="G12" s="17"/>
      <c r="H12" s="17"/>
      <c r="I12" s="17">
        <v>-12</v>
      </c>
      <c r="J12" s="31">
        <f>D12+F12</f>
        <v>13.1</v>
      </c>
      <c r="K12" s="31">
        <f>AVERAGE(J9:J12)</f>
        <v>13.975</v>
      </c>
      <c r="L12" s="17">
        <f>-I12+L11</f>
        <v>27.6</v>
      </c>
    </row>
    <row r="13" ht="21.2" customHeight="1">
      <c r="B13" s="26"/>
      <c r="C13" s="16">
        <v>74</v>
      </c>
      <c r="D13" s="17">
        <v>9.300000000000001</v>
      </c>
      <c r="E13" s="17"/>
      <c r="F13" s="17">
        <v>0</v>
      </c>
      <c r="G13" s="17"/>
      <c r="H13" s="17"/>
      <c r="I13" s="17">
        <v>-45</v>
      </c>
      <c r="J13" s="31">
        <f>D13+F13</f>
        <v>9.300000000000001</v>
      </c>
      <c r="K13" s="31">
        <f>AVERAGE(J10:J13)</f>
        <v>11.15</v>
      </c>
      <c r="L13" s="17">
        <f>-I13+L12</f>
        <v>72.59999999999999</v>
      </c>
    </row>
    <row r="14" ht="21.2" customHeight="1">
      <c r="B14" s="26"/>
      <c r="C14" s="16">
        <v>68</v>
      </c>
      <c r="D14" s="17">
        <v>9</v>
      </c>
      <c r="E14" s="17"/>
      <c r="F14" s="17">
        <v>-7.2</v>
      </c>
      <c r="G14" s="17"/>
      <c r="H14" s="17"/>
      <c r="I14" s="17">
        <v>-1</v>
      </c>
      <c r="J14" s="31">
        <f>D14+F14</f>
        <v>1.8</v>
      </c>
      <c r="K14" s="31">
        <f>AVERAGE(J11:J14)</f>
        <v>12.375</v>
      </c>
      <c r="L14" s="17">
        <f>-I14+L13</f>
        <v>73.59999999999999</v>
      </c>
    </row>
    <row r="15" ht="21.2" customHeight="1">
      <c r="B15" s="26"/>
      <c r="C15" s="16">
        <v>99</v>
      </c>
      <c r="D15" s="17">
        <v>-7.1</v>
      </c>
      <c r="E15" s="17"/>
      <c r="F15" s="17">
        <v>-4.5</v>
      </c>
      <c r="G15" s="17"/>
      <c r="H15" s="17"/>
      <c r="I15" s="17">
        <v>-4.6</v>
      </c>
      <c r="J15" s="31">
        <f>D15+F15</f>
        <v>-11.6</v>
      </c>
      <c r="K15" s="31">
        <f>AVERAGE(J12:J15)</f>
        <v>3.15</v>
      </c>
      <c r="L15" s="17">
        <f>-I15+L14</f>
        <v>78.2</v>
      </c>
    </row>
    <row r="16" ht="21.2" customHeight="1">
      <c r="B16" s="27">
        <v>2019</v>
      </c>
      <c r="C16" s="16">
        <v>98</v>
      </c>
      <c r="D16" s="17">
        <v>12.8</v>
      </c>
      <c r="E16" s="17">
        <v>-2.5</v>
      </c>
      <c r="F16" s="17">
        <v>-2.8</v>
      </c>
      <c r="G16" s="17"/>
      <c r="H16" s="17"/>
      <c r="I16" s="17">
        <v>0</v>
      </c>
      <c r="J16" s="31">
        <f>D16+F16</f>
        <v>10</v>
      </c>
      <c r="K16" s="31">
        <f>AVERAGE(J13:J16)</f>
        <v>2.375</v>
      </c>
      <c r="L16" s="17">
        <f>-I16+L15</f>
        <v>78.2</v>
      </c>
    </row>
    <row r="17" ht="21.2" customHeight="1">
      <c r="B17" s="26"/>
      <c r="C17" s="16">
        <v>54</v>
      </c>
      <c r="D17" s="17">
        <v>-2</v>
      </c>
      <c r="E17" s="17">
        <v>-1.1</v>
      </c>
      <c r="F17" s="17">
        <v>-0.4</v>
      </c>
      <c r="G17" s="17"/>
      <c r="H17" s="17"/>
      <c r="I17" s="17">
        <v>-6.9</v>
      </c>
      <c r="J17" s="31">
        <f>D17+F17</f>
        <v>-2.4</v>
      </c>
      <c r="K17" s="31">
        <f>AVERAGE(J14:J17)</f>
        <v>-0.55</v>
      </c>
      <c r="L17" s="17">
        <f>-I17+L16</f>
        <v>85.09999999999999</v>
      </c>
    </row>
    <row r="18" ht="21.2" customHeight="1">
      <c r="B18" s="26"/>
      <c r="C18" s="16">
        <v>57</v>
      </c>
      <c r="D18" s="17">
        <v>6.8</v>
      </c>
      <c r="E18" s="17">
        <v>-1.9</v>
      </c>
      <c r="F18" s="17">
        <v>1.3</v>
      </c>
      <c r="G18" s="17"/>
      <c r="H18" s="17"/>
      <c r="I18" s="17">
        <v>-1.8</v>
      </c>
      <c r="J18" s="31">
        <f>D18+F18</f>
        <v>8.1</v>
      </c>
      <c r="K18" s="31">
        <f>AVERAGE(J15:J18)</f>
        <v>1.025</v>
      </c>
      <c r="L18" s="17">
        <f>-I18+L17</f>
        <v>86.90000000000001</v>
      </c>
    </row>
    <row r="19" ht="21.2" customHeight="1">
      <c r="B19" s="26"/>
      <c r="C19" s="16">
        <v>66</v>
      </c>
      <c r="D19" s="17">
        <v>6</v>
      </c>
      <c r="E19" s="17">
        <v>-3.1</v>
      </c>
      <c r="F19" s="17">
        <v>-2.5</v>
      </c>
      <c r="G19" s="17"/>
      <c r="H19" s="17"/>
      <c r="I19" s="17">
        <v>-0.3</v>
      </c>
      <c r="J19" s="31">
        <f>D19+F19</f>
        <v>3.5</v>
      </c>
      <c r="K19" s="31">
        <f>AVERAGE(J16:J19)</f>
        <v>4.8</v>
      </c>
      <c r="L19" s="17">
        <f>-I19+L18</f>
        <v>87.2</v>
      </c>
    </row>
    <row r="20" ht="21.2" customHeight="1">
      <c r="B20" s="27">
        <v>2020</v>
      </c>
      <c r="C20" s="16">
        <v>66</v>
      </c>
      <c r="D20" s="17">
        <v>20.7</v>
      </c>
      <c r="E20" s="17">
        <v>-1.4</v>
      </c>
      <c r="F20" s="17">
        <v>-0.8</v>
      </c>
      <c r="G20" s="17"/>
      <c r="H20" s="17"/>
      <c r="I20" s="17">
        <v>-3.1</v>
      </c>
      <c r="J20" s="31">
        <f>D20+F20</f>
        <v>19.9</v>
      </c>
      <c r="K20" s="31">
        <f>AVERAGE(J17:J20)</f>
        <v>7.275</v>
      </c>
      <c r="L20" s="17">
        <f>-I20+L19</f>
        <v>90.3</v>
      </c>
    </row>
    <row r="21" ht="21.2" customHeight="1">
      <c r="B21" s="26"/>
      <c r="C21" s="16">
        <v>44</v>
      </c>
      <c r="D21" s="17">
        <v>21.8</v>
      </c>
      <c r="E21" s="17">
        <v>-0.6</v>
      </c>
      <c r="F21" s="17">
        <v>-27.9</v>
      </c>
      <c r="G21" s="17"/>
      <c r="H21" s="17"/>
      <c r="I21" s="17">
        <v>-1</v>
      </c>
      <c r="J21" s="31">
        <f>D21+F21</f>
        <v>-6.1</v>
      </c>
      <c r="K21" s="31">
        <f>AVERAGE(J18:J21)</f>
        <v>6.35</v>
      </c>
      <c r="L21" s="17">
        <f>-I21+L20</f>
        <v>91.3</v>
      </c>
    </row>
    <row r="22" ht="21.2" customHeight="1">
      <c r="B22" s="26"/>
      <c r="C22" s="16">
        <v>34</v>
      </c>
      <c r="D22" s="17">
        <v>2.3</v>
      </c>
      <c r="E22" s="17">
        <v>-1</v>
      </c>
      <c r="F22" s="17">
        <v>0</v>
      </c>
      <c r="G22" s="17"/>
      <c r="H22" s="17"/>
      <c r="I22" s="17">
        <v>0.5</v>
      </c>
      <c r="J22" s="31">
        <f>D22+F22</f>
        <v>2.3</v>
      </c>
      <c r="K22" s="31">
        <f>AVERAGE(J19:J22)</f>
        <v>4.9</v>
      </c>
      <c r="L22" s="17">
        <f>-I22+L21</f>
        <v>90.8</v>
      </c>
    </row>
    <row r="23" ht="21.2" customHeight="1">
      <c r="B23" s="26"/>
      <c r="C23" s="32">
        <f>171.5-SUM(C20:C22)</f>
        <v>27.5</v>
      </c>
      <c r="D23" s="31">
        <f>47.7-SUM(D20:D22)</f>
        <v>2.9</v>
      </c>
      <c r="E23" s="17">
        <v>-4.4</v>
      </c>
      <c r="F23" s="31">
        <f>-58.5-SUM(F20:F22)</f>
        <v>-29.8</v>
      </c>
      <c r="G23" s="31"/>
      <c r="H23" s="31"/>
      <c r="I23" s="31">
        <f>-4.6-SUM(I20:I22)</f>
        <v>-1</v>
      </c>
      <c r="J23" s="31">
        <f>D23+F23</f>
        <v>-26.9</v>
      </c>
      <c r="K23" s="31">
        <f>AVERAGE(J20:J23)</f>
        <v>-2.7</v>
      </c>
      <c r="L23" s="17">
        <f>-I23+L22</f>
        <v>91.8</v>
      </c>
    </row>
    <row r="24" ht="21.2" customHeight="1">
      <c r="B24" s="27">
        <v>2021</v>
      </c>
      <c r="C24" s="32">
        <v>51.7</v>
      </c>
      <c r="D24" s="31">
        <v>17.7</v>
      </c>
      <c r="E24" s="17">
        <v>-1.6</v>
      </c>
      <c r="F24" s="31">
        <v>-151.3</v>
      </c>
      <c r="G24" s="31">
        <v>68.59399999999999</v>
      </c>
      <c r="H24" s="31"/>
      <c r="I24" s="31">
        <v>68.59999999999999</v>
      </c>
      <c r="J24" s="31">
        <f>D24+F24</f>
        <v>-133.6</v>
      </c>
      <c r="K24" s="31">
        <f>AVERAGE(J21:J24)</f>
        <v>-41.075</v>
      </c>
      <c r="L24" s="17">
        <f>-I24+L23</f>
        <v>23.2</v>
      </c>
    </row>
    <row r="25" ht="21.2" customHeight="1">
      <c r="B25" s="26"/>
      <c r="C25" s="32">
        <f>110-C24</f>
        <v>58.3</v>
      </c>
      <c r="D25" s="31">
        <f>42.7-D24</f>
        <v>25</v>
      </c>
      <c r="E25" s="17">
        <v>-3.8</v>
      </c>
      <c r="F25" s="31">
        <f>-199.1-F24</f>
        <v>-47.8</v>
      </c>
      <c r="G25" s="31">
        <f>81.548-G24</f>
        <v>12.954</v>
      </c>
      <c r="H25" s="31"/>
      <c r="I25" s="31">
        <f>81.5-I24</f>
        <v>12.9</v>
      </c>
      <c r="J25" s="31">
        <f>D25+F25</f>
        <v>-22.8</v>
      </c>
      <c r="K25" s="31">
        <f>AVERAGE(J23:J25)</f>
        <v>-61.1</v>
      </c>
      <c r="L25" s="17">
        <f>-I25+L24</f>
        <v>10.3</v>
      </c>
    </row>
    <row r="26" ht="21.2" customHeight="1">
      <c r="B26" s="26"/>
      <c r="C26" s="32">
        <f>190.4-SUM(C24:C25)</f>
        <v>80.40000000000001</v>
      </c>
      <c r="D26" s="31">
        <f>69.1-SUM(D24:D25)</f>
        <v>26.4</v>
      </c>
      <c r="E26" s="17">
        <f>-8.8-SUM(E24:E25)</f>
        <v>-3.4</v>
      </c>
      <c r="F26" s="31">
        <f>-241-SUM(F24:F25)</f>
        <v>-41.9</v>
      </c>
      <c r="G26" s="31">
        <f>116.1-G25-G24-H26-H25-H24</f>
        <v>13.292</v>
      </c>
      <c r="H26" s="31">
        <f>29.5-7.007-1.233</f>
        <v>21.26</v>
      </c>
      <c r="I26" s="31">
        <f>116.1-SUM(I24:I25)</f>
        <v>34.6</v>
      </c>
      <c r="J26" s="31">
        <f>D26+F26</f>
        <v>-15.5</v>
      </c>
      <c r="K26" s="31">
        <f>AVERAGE(J24:J26)</f>
        <v>-57.3</v>
      </c>
      <c r="L26" s="17">
        <f>-I26+L25</f>
        <v>-24.3</v>
      </c>
    </row>
    <row r="27" ht="21.2" customHeight="1">
      <c r="B27" s="26"/>
      <c r="C27" s="32"/>
      <c r="D27" s="31"/>
      <c r="E27" s="17"/>
      <c r="F27" s="31"/>
      <c r="G27" s="31"/>
      <c r="H27" s="31"/>
      <c r="I27" s="31"/>
      <c r="J27" s="31"/>
      <c r="K27" s="31">
        <f>SUM('Model'!F9:F10)</f>
        <v>40.9673146529522</v>
      </c>
      <c r="L27" s="17">
        <f>'Model'!F33</f>
        <v>94.51765028562789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1" width="9.21875" style="33" customWidth="1"/>
    <col min="12" max="16384" width="16.3516" style="33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51</v>
      </c>
      <c r="D3" t="s" s="4">
        <v>52</v>
      </c>
      <c r="E3" t="s" s="4">
        <v>21</v>
      </c>
      <c r="F3" t="s" s="4">
        <v>22</v>
      </c>
      <c r="G3" t="s" s="4">
        <v>11</v>
      </c>
      <c r="H3" t="s" s="4">
        <v>12</v>
      </c>
      <c r="I3" t="s" s="4">
        <v>53</v>
      </c>
      <c r="J3" t="s" s="4">
        <v>25</v>
      </c>
      <c r="K3" t="s" s="4">
        <v>34</v>
      </c>
    </row>
    <row r="4" ht="20.25" customHeight="1">
      <c r="B4" s="23">
        <v>2016</v>
      </c>
      <c r="C4" s="24">
        <v>199</v>
      </c>
      <c r="D4" s="25">
        <v>379</v>
      </c>
      <c r="E4" s="25">
        <f>D4-C4</f>
        <v>180</v>
      </c>
      <c r="F4" s="25"/>
      <c r="G4" s="25">
        <v>34</v>
      </c>
      <c r="H4" s="25">
        <v>345</v>
      </c>
      <c r="I4" s="25">
        <f>G4+H4-C4-E4</f>
        <v>0</v>
      </c>
      <c r="J4" s="25">
        <f>C4-G4</f>
        <v>165</v>
      </c>
      <c r="K4" s="25"/>
    </row>
    <row r="5" ht="20.05" customHeight="1">
      <c r="B5" s="26"/>
      <c r="C5" s="16">
        <v>194</v>
      </c>
      <c r="D5" s="17">
        <v>381</v>
      </c>
      <c r="E5" s="17">
        <f>D5-C5</f>
        <v>187</v>
      </c>
      <c r="F5" s="17"/>
      <c r="G5" s="17">
        <v>32</v>
      </c>
      <c r="H5" s="17">
        <v>349</v>
      </c>
      <c r="I5" s="17">
        <f>G5+H5-C5-E5</f>
        <v>0</v>
      </c>
      <c r="J5" s="17">
        <f>C5-G5</f>
        <v>162</v>
      </c>
      <c r="K5" s="17"/>
    </row>
    <row r="6" ht="20.05" customHeight="1">
      <c r="B6" s="26"/>
      <c r="C6" s="16">
        <v>203</v>
      </c>
      <c r="D6" s="17">
        <v>393</v>
      </c>
      <c r="E6" s="17">
        <f>D6-C6</f>
        <v>190</v>
      </c>
      <c r="F6" s="17"/>
      <c r="G6" s="17">
        <v>39</v>
      </c>
      <c r="H6" s="17">
        <v>354</v>
      </c>
      <c r="I6" s="17">
        <f>G6+H6-C6-E6</f>
        <v>0</v>
      </c>
      <c r="J6" s="17">
        <f>C6-G6</f>
        <v>164</v>
      </c>
      <c r="K6" s="17"/>
    </row>
    <row r="7" ht="20.05" customHeight="1">
      <c r="B7" s="26"/>
      <c r="C7" s="16">
        <v>231</v>
      </c>
      <c r="D7" s="17">
        <v>413</v>
      </c>
      <c r="E7" s="17">
        <f>D7-C7</f>
        <v>182</v>
      </c>
      <c r="F7" s="17"/>
      <c r="G7" s="17">
        <v>58</v>
      </c>
      <c r="H7" s="17">
        <v>355</v>
      </c>
      <c r="I7" s="17">
        <f>G7+H7-C7-E7</f>
        <v>0</v>
      </c>
      <c r="J7" s="17">
        <f>C7-G7</f>
        <v>173</v>
      </c>
      <c r="K7" s="17"/>
    </row>
    <row r="8" ht="20.05" customHeight="1">
      <c r="B8" s="27">
        <v>2017</v>
      </c>
      <c r="C8" s="16">
        <v>232</v>
      </c>
      <c r="D8" s="17">
        <v>423</v>
      </c>
      <c r="E8" s="17">
        <f>D8-C8</f>
        <v>191</v>
      </c>
      <c r="F8" s="17"/>
      <c r="G8" s="17">
        <v>54</v>
      </c>
      <c r="H8" s="17">
        <v>369</v>
      </c>
      <c r="I8" s="17">
        <f>G8+H8-C8-E8</f>
        <v>0</v>
      </c>
      <c r="J8" s="17">
        <f>C8-G8</f>
        <v>178</v>
      </c>
      <c r="K8" s="17"/>
    </row>
    <row r="9" ht="20.05" customHeight="1">
      <c r="B9" s="26"/>
      <c r="C9" s="16">
        <v>248</v>
      </c>
      <c r="D9" s="17">
        <v>437</v>
      </c>
      <c r="E9" s="17">
        <f>D9-C9</f>
        <v>189</v>
      </c>
      <c r="F9" s="17"/>
      <c r="G9" s="17">
        <v>63</v>
      </c>
      <c r="H9" s="17">
        <v>374</v>
      </c>
      <c r="I9" s="17">
        <f>G9+H9-C9-E9</f>
        <v>0</v>
      </c>
      <c r="J9" s="17">
        <f>C9-G9</f>
        <v>185</v>
      </c>
      <c r="K9" s="17"/>
    </row>
    <row r="10" ht="20.05" customHeight="1">
      <c r="B10" s="26"/>
      <c r="C10" s="16">
        <v>241</v>
      </c>
      <c r="D10" s="17">
        <v>431</v>
      </c>
      <c r="E10" s="17">
        <f>D10-C10</f>
        <v>190</v>
      </c>
      <c r="F10" s="17"/>
      <c r="G10" s="17">
        <v>47</v>
      </c>
      <c r="H10" s="17">
        <v>384</v>
      </c>
      <c r="I10" s="17">
        <f>G10+H10-C10-E10</f>
        <v>0</v>
      </c>
      <c r="J10" s="17">
        <f>C10-G10</f>
        <v>194</v>
      </c>
      <c r="K10" s="17"/>
    </row>
    <row r="11" ht="20.05" customHeight="1">
      <c r="B11" s="26"/>
      <c r="C11" s="16">
        <v>266</v>
      </c>
      <c r="D11" s="17">
        <v>459</v>
      </c>
      <c r="E11" s="17">
        <f>D11-C11</f>
        <v>193</v>
      </c>
      <c r="F11" s="17"/>
      <c r="G11" s="17">
        <v>64</v>
      </c>
      <c r="H11" s="17">
        <v>396</v>
      </c>
      <c r="I11" s="17">
        <f>G11+H11-C11-E11</f>
        <v>1</v>
      </c>
      <c r="J11" s="17">
        <f>C11-G11</f>
        <v>202</v>
      </c>
      <c r="K11" s="17"/>
    </row>
    <row r="12" ht="20.05" customHeight="1">
      <c r="B12" s="27">
        <v>2018</v>
      </c>
      <c r="C12" s="16">
        <v>267</v>
      </c>
      <c r="D12" s="17">
        <v>470</v>
      </c>
      <c r="E12" s="17">
        <f>D12-C12</f>
        <v>203</v>
      </c>
      <c r="F12" s="17"/>
      <c r="G12" s="17">
        <v>59</v>
      </c>
      <c r="H12" s="17">
        <v>411</v>
      </c>
      <c r="I12" s="17">
        <f>G12+H12-C12-E12</f>
        <v>0</v>
      </c>
      <c r="J12" s="17">
        <f>C12-G12</f>
        <v>208</v>
      </c>
      <c r="K12" s="17"/>
    </row>
    <row r="13" ht="20.05" customHeight="1">
      <c r="B13" s="26"/>
      <c r="C13" s="16">
        <v>232</v>
      </c>
      <c r="D13" s="17">
        <v>434</v>
      </c>
      <c r="E13" s="17">
        <f>D13-C13</f>
        <v>202</v>
      </c>
      <c r="F13" s="17"/>
      <c r="G13" s="17">
        <v>63</v>
      </c>
      <c r="H13" s="17">
        <v>371</v>
      </c>
      <c r="I13" s="17">
        <f>G13+H13-C13-E13</f>
        <v>0</v>
      </c>
      <c r="J13" s="17">
        <f>C13-G13</f>
        <v>169</v>
      </c>
      <c r="K13" s="17"/>
    </row>
    <row r="14" ht="20.05" customHeight="1">
      <c r="B14" s="26"/>
      <c r="C14" s="16">
        <v>233</v>
      </c>
      <c r="D14" s="17">
        <v>464</v>
      </c>
      <c r="E14" s="17">
        <f>D14-C14</f>
        <v>231</v>
      </c>
      <c r="F14" s="17"/>
      <c r="G14" s="17">
        <v>87</v>
      </c>
      <c r="H14" s="17">
        <v>377</v>
      </c>
      <c r="I14" s="17">
        <f>G14+H14-C14-E14</f>
        <v>0</v>
      </c>
      <c r="J14" s="17">
        <f>C14-G14</f>
        <v>146</v>
      </c>
      <c r="K14" s="17"/>
    </row>
    <row r="15" ht="20.05" customHeight="1">
      <c r="B15" s="26"/>
      <c r="C15" s="16">
        <v>216</v>
      </c>
      <c r="D15" s="17">
        <v>468</v>
      </c>
      <c r="E15" s="17">
        <f>D15-C15</f>
        <v>252</v>
      </c>
      <c r="F15" s="17"/>
      <c r="G15" s="17">
        <v>79.5</v>
      </c>
      <c r="H15" s="17">
        <v>389</v>
      </c>
      <c r="I15" s="17">
        <f>G15+H15-C15-E15</f>
        <v>0.5</v>
      </c>
      <c r="J15" s="17">
        <f>C15-G15</f>
        <v>136.5</v>
      </c>
      <c r="K15" s="17"/>
    </row>
    <row r="16" ht="20.05" customHeight="1">
      <c r="B16" s="27">
        <v>2019</v>
      </c>
      <c r="C16" s="16">
        <v>226</v>
      </c>
      <c r="D16" s="17">
        <v>445</v>
      </c>
      <c r="E16" s="17">
        <f>D16-C16</f>
        <v>219</v>
      </c>
      <c r="F16" s="17"/>
      <c r="G16" s="17">
        <v>49</v>
      </c>
      <c r="H16" s="17">
        <v>396</v>
      </c>
      <c r="I16" s="17">
        <f>G16+H16-C16-E16</f>
        <v>0</v>
      </c>
      <c r="J16" s="17">
        <f>C16-G16</f>
        <v>177</v>
      </c>
      <c r="K16" s="17"/>
    </row>
    <row r="17" ht="20.05" customHeight="1">
      <c r="B17" s="26"/>
      <c r="C17" s="16">
        <v>217</v>
      </c>
      <c r="D17" s="17">
        <v>440</v>
      </c>
      <c r="E17" s="17">
        <f>D17-C17</f>
        <v>223</v>
      </c>
      <c r="F17" s="17"/>
      <c r="G17" s="17">
        <v>42.6</v>
      </c>
      <c r="H17" s="17">
        <v>397</v>
      </c>
      <c r="I17" s="17">
        <f>G17+H17-C17-E17</f>
        <v>-0.4</v>
      </c>
      <c r="J17" s="17">
        <f>C17-G17</f>
        <v>174.4</v>
      </c>
      <c r="K17" s="17"/>
    </row>
    <row r="18" ht="20.05" customHeight="1">
      <c r="B18" s="26"/>
      <c r="C18" s="16">
        <v>224</v>
      </c>
      <c r="D18" s="17">
        <v>454</v>
      </c>
      <c r="E18" s="17">
        <f>D18-C18</f>
        <v>230</v>
      </c>
      <c r="F18" s="17"/>
      <c r="G18" s="17">
        <v>54</v>
      </c>
      <c r="H18" s="17">
        <v>400</v>
      </c>
      <c r="I18" s="17">
        <f>G18+H18-C18-E18</f>
        <v>0</v>
      </c>
      <c r="J18" s="17">
        <f>C18-G18</f>
        <v>170</v>
      </c>
      <c r="K18" s="17"/>
    </row>
    <row r="19" ht="20.05" customHeight="1">
      <c r="B19" s="26"/>
      <c r="C19" s="16">
        <v>226</v>
      </c>
      <c r="D19" s="17">
        <v>447</v>
      </c>
      <c r="E19" s="17">
        <f>D19-C19</f>
        <v>221</v>
      </c>
      <c r="F19" s="17">
        <f>105+35</f>
        <v>140</v>
      </c>
      <c r="G19" s="17">
        <v>47.4</v>
      </c>
      <c r="H19" s="17">
        <v>400</v>
      </c>
      <c r="I19" s="17">
        <f>G19+H19-C19-E19</f>
        <v>0.4</v>
      </c>
      <c r="J19" s="17">
        <f>C19-G19</f>
        <v>178.6</v>
      </c>
      <c r="K19" s="17"/>
    </row>
    <row r="20" ht="20.05" customHeight="1">
      <c r="B20" s="27">
        <v>2020</v>
      </c>
      <c r="C20" s="16">
        <v>243</v>
      </c>
      <c r="D20" s="17">
        <v>445</v>
      </c>
      <c r="E20" s="17">
        <f>D20-C20</f>
        <v>202</v>
      </c>
      <c r="F20" s="17">
        <f>107+36</f>
        <v>143</v>
      </c>
      <c r="G20" s="17">
        <v>47.5</v>
      </c>
      <c r="H20" s="17">
        <v>398</v>
      </c>
      <c r="I20" s="17">
        <f>G20+H20-C20-E20</f>
        <v>0.5</v>
      </c>
      <c r="J20" s="17">
        <f>C20-G20</f>
        <v>195.5</v>
      </c>
      <c r="K20" s="17"/>
    </row>
    <row r="21" ht="20.05" customHeight="1">
      <c r="B21" s="26"/>
      <c r="C21" s="16">
        <v>236</v>
      </c>
      <c r="D21" s="17">
        <v>467</v>
      </c>
      <c r="E21" s="17">
        <f>D21-C21</f>
        <v>231</v>
      </c>
      <c r="F21" s="17">
        <f>109+37</f>
        <v>146</v>
      </c>
      <c r="G21" s="17">
        <v>47</v>
      </c>
      <c r="H21" s="17">
        <v>420</v>
      </c>
      <c r="I21" s="17">
        <f>G21+H21-C21-E21</f>
        <v>0</v>
      </c>
      <c r="J21" s="17">
        <f>C21-G21</f>
        <v>189</v>
      </c>
      <c r="K21" s="17"/>
    </row>
    <row r="22" ht="20.05" customHeight="1">
      <c r="B22" s="26"/>
      <c r="C22" s="16">
        <v>239</v>
      </c>
      <c r="D22" s="17">
        <v>465</v>
      </c>
      <c r="E22" s="17">
        <f>D22-C22</f>
        <v>226</v>
      </c>
      <c r="F22" s="17">
        <f>112+38</f>
        <v>150</v>
      </c>
      <c r="G22" s="17">
        <v>42.7</v>
      </c>
      <c r="H22" s="17">
        <v>422</v>
      </c>
      <c r="I22" s="17">
        <f>G22+H22-C22-E22</f>
        <v>-0.3</v>
      </c>
      <c r="J22" s="17">
        <f>C22-G22</f>
        <v>196.3</v>
      </c>
      <c r="K22" s="17"/>
    </row>
    <row r="23" ht="20.05" customHeight="1">
      <c r="B23" s="26"/>
      <c r="C23" s="16">
        <v>211</v>
      </c>
      <c r="D23" s="17">
        <v>498.7</v>
      </c>
      <c r="E23" s="17">
        <f>D23-C23</f>
        <v>287.7</v>
      </c>
      <c r="F23" s="17">
        <f>115+39</f>
        <v>154</v>
      </c>
      <c r="G23" s="17">
        <v>43.9</v>
      </c>
      <c r="H23" s="31">
        <v>454.7</v>
      </c>
      <c r="I23" s="17">
        <f>G23+H23-C23-E23</f>
        <v>-0.1</v>
      </c>
      <c r="J23" s="17">
        <f>C23-G23</f>
        <v>167.1</v>
      </c>
      <c r="K23" s="28"/>
    </row>
    <row r="24" ht="20.05" customHeight="1">
      <c r="B24" s="27">
        <v>2021</v>
      </c>
      <c r="C24" s="16">
        <v>146</v>
      </c>
      <c r="D24" s="17">
        <v>595</v>
      </c>
      <c r="E24" s="17">
        <f>D24-C24</f>
        <v>449</v>
      </c>
      <c r="F24" s="17">
        <f>117+40</f>
        <v>157</v>
      </c>
      <c r="G24" s="17">
        <v>119</v>
      </c>
      <c r="H24" s="31">
        <v>476</v>
      </c>
      <c r="I24" s="17">
        <f>G24+H24-C24-E24</f>
        <v>0</v>
      </c>
      <c r="J24" s="17">
        <f>C24-G24</f>
        <v>27</v>
      </c>
      <c r="K24" s="17"/>
    </row>
    <row r="25" ht="20.05" customHeight="1">
      <c r="B25" s="26"/>
      <c r="C25" s="16">
        <v>136</v>
      </c>
      <c r="D25" s="17">
        <v>614</v>
      </c>
      <c r="E25" s="17">
        <f>D25-C25</f>
        <v>478</v>
      </c>
      <c r="F25" s="17">
        <f>119+42</f>
        <v>161</v>
      </c>
      <c r="G25" s="17">
        <v>146</v>
      </c>
      <c r="H25" s="31">
        <v>468</v>
      </c>
      <c r="I25" s="17">
        <f>G25+H25-C25-E25</f>
        <v>0</v>
      </c>
      <c r="J25" s="17">
        <f>C25-G25</f>
        <v>-10</v>
      </c>
      <c r="K25" s="17"/>
    </row>
    <row r="26" ht="20.05" customHeight="1">
      <c r="B26" s="26"/>
      <c r="C26" s="16">
        <v>155</v>
      </c>
      <c r="D26" s="17">
        <v>693</v>
      </c>
      <c r="E26" s="17">
        <f>D26-C26</f>
        <v>538</v>
      </c>
      <c r="F26" s="17">
        <f>122+43</f>
        <v>165</v>
      </c>
      <c r="G26" s="17">
        <v>164</v>
      </c>
      <c r="H26" s="31">
        <v>529</v>
      </c>
      <c r="I26" s="17">
        <f>G26+H26-C26-E26</f>
        <v>0</v>
      </c>
      <c r="J26" s="17">
        <f>C26-G26</f>
        <v>-9</v>
      </c>
      <c r="K26" s="17">
        <f>J26</f>
        <v>-9</v>
      </c>
    </row>
    <row r="27" ht="20.05" customHeight="1">
      <c r="B27" s="26"/>
      <c r="C27" s="16"/>
      <c r="D27" s="17"/>
      <c r="E27" s="17">
        <f>D27-C27</f>
        <v>0</v>
      </c>
      <c r="F27" s="17"/>
      <c r="G27" s="17"/>
      <c r="H27" s="31"/>
      <c r="I27" s="17"/>
      <c r="J27" s="17"/>
      <c r="K27" s="17">
        <f>'Model'!F30</f>
        <v>52.731116857085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4" width="9.9375" style="34" customWidth="1"/>
    <col min="5" max="16384" width="16.3516" style="34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5"/>
      <c r="C3" t="s" s="35">
        <v>55</v>
      </c>
      <c r="D3" t="s" s="35">
        <v>37</v>
      </c>
    </row>
    <row r="4" ht="20.25" customHeight="1">
      <c r="B4" s="23">
        <v>2016</v>
      </c>
      <c r="C4" s="36">
        <v>620</v>
      </c>
      <c r="D4" s="37"/>
    </row>
    <row r="5" ht="20.05" customHeight="1">
      <c r="B5" s="26"/>
      <c r="C5" s="38">
        <v>710</v>
      </c>
      <c r="D5" s="39"/>
    </row>
    <row r="6" ht="20.05" customHeight="1">
      <c r="B6" s="26"/>
      <c r="C6" s="38">
        <v>880</v>
      </c>
      <c r="D6" s="39"/>
    </row>
    <row r="7" ht="20.05" customHeight="1">
      <c r="B7" s="26"/>
      <c r="C7" s="38">
        <v>905</v>
      </c>
      <c r="D7" s="39"/>
    </row>
    <row r="8" ht="20.05" customHeight="1">
      <c r="B8" s="26"/>
      <c r="C8" s="38">
        <v>800</v>
      </c>
      <c r="D8" s="39"/>
    </row>
    <row r="9" ht="20.05" customHeight="1">
      <c r="B9" s="26"/>
      <c r="C9" s="38">
        <v>820</v>
      </c>
      <c r="D9" s="39"/>
    </row>
    <row r="10" ht="20.05" customHeight="1">
      <c r="B10" s="26"/>
      <c r="C10" s="38">
        <v>1145</v>
      </c>
      <c r="D10" s="39"/>
    </row>
    <row r="11" ht="20.05" customHeight="1">
      <c r="B11" s="26"/>
      <c r="C11" s="38">
        <v>1050</v>
      </c>
      <c r="D11" s="39"/>
    </row>
    <row r="12" ht="20.05" customHeight="1">
      <c r="B12" s="26"/>
      <c r="C12" s="38">
        <v>1045</v>
      </c>
      <c r="D12" s="39"/>
    </row>
    <row r="13" ht="20.05" customHeight="1">
      <c r="B13" s="26"/>
      <c r="C13" s="38">
        <v>1985</v>
      </c>
      <c r="D13" s="39"/>
    </row>
    <row r="14" ht="20.05" customHeight="1">
      <c r="B14" s="26"/>
      <c r="C14" s="38">
        <v>2160</v>
      </c>
      <c r="D14" s="39"/>
    </row>
    <row r="15" ht="20.05" customHeight="1">
      <c r="B15" s="26"/>
      <c r="C15" s="38">
        <v>2140</v>
      </c>
      <c r="D15" s="39"/>
    </row>
    <row r="16" ht="20.05" customHeight="1">
      <c r="B16" s="27">
        <v>2017</v>
      </c>
      <c r="C16" s="38">
        <v>2200</v>
      </c>
      <c r="D16" s="39"/>
    </row>
    <row r="17" ht="20.05" customHeight="1">
      <c r="B17" s="26"/>
      <c r="C17" s="38">
        <v>2180</v>
      </c>
      <c r="D17" s="39"/>
    </row>
    <row r="18" ht="20.05" customHeight="1">
      <c r="B18" s="26"/>
      <c r="C18" s="38">
        <v>2440</v>
      </c>
      <c r="D18" s="39"/>
    </row>
    <row r="19" ht="20.05" customHeight="1">
      <c r="B19" s="26"/>
      <c r="C19" s="38">
        <v>2570</v>
      </c>
      <c r="D19" s="39"/>
    </row>
    <row r="20" ht="20.05" customHeight="1">
      <c r="B20" s="26"/>
      <c r="C20" s="38">
        <v>2110</v>
      </c>
      <c r="D20" s="39"/>
    </row>
    <row r="21" ht="20.05" customHeight="1">
      <c r="B21" s="26"/>
      <c r="C21" s="38">
        <v>1995</v>
      </c>
      <c r="D21" s="39"/>
    </row>
    <row r="22" ht="20.05" customHeight="1">
      <c r="B22" s="26"/>
      <c r="C22" s="38">
        <v>2200</v>
      </c>
      <c r="D22" s="39"/>
    </row>
    <row r="23" ht="20.05" customHeight="1">
      <c r="B23" s="26"/>
      <c r="C23" s="38">
        <v>2320</v>
      </c>
      <c r="D23" s="39"/>
    </row>
    <row r="24" ht="20.05" customHeight="1">
      <c r="B24" s="26"/>
      <c r="C24" s="38">
        <v>2140</v>
      </c>
      <c r="D24" s="39"/>
    </row>
    <row r="25" ht="20.05" customHeight="1">
      <c r="B25" s="26"/>
      <c r="C25" s="38">
        <v>2350</v>
      </c>
      <c r="D25" s="39"/>
    </row>
    <row r="26" ht="20.05" customHeight="1">
      <c r="B26" s="26"/>
      <c r="C26" s="38">
        <v>2040</v>
      </c>
      <c r="D26" s="39"/>
    </row>
    <row r="27" ht="20.05" customHeight="1">
      <c r="B27" s="26"/>
      <c r="C27" s="38">
        <v>2050</v>
      </c>
      <c r="D27" s="39"/>
    </row>
    <row r="28" ht="20.05" customHeight="1">
      <c r="B28" s="27">
        <v>2018</v>
      </c>
      <c r="C28" s="38">
        <v>3300</v>
      </c>
      <c r="D28" s="39"/>
    </row>
    <row r="29" ht="20.05" customHeight="1">
      <c r="B29" s="26"/>
      <c r="C29" s="38">
        <v>3400</v>
      </c>
      <c r="D29" s="39"/>
    </row>
    <row r="30" ht="20.05" customHeight="1">
      <c r="B30" s="26"/>
      <c r="C30" s="38">
        <v>2720</v>
      </c>
      <c r="D30" s="39"/>
    </row>
    <row r="31" ht="20.05" customHeight="1">
      <c r="B31" s="26"/>
      <c r="C31" s="38">
        <v>2560</v>
      </c>
      <c r="D31" s="39"/>
    </row>
    <row r="32" ht="20.05" customHeight="1">
      <c r="B32" s="26"/>
      <c r="C32" s="38">
        <v>3230</v>
      </c>
      <c r="D32" s="39"/>
    </row>
    <row r="33" ht="20.05" customHeight="1">
      <c r="B33" s="26"/>
      <c r="C33" s="38">
        <v>2480</v>
      </c>
      <c r="D33" s="39"/>
    </row>
    <row r="34" ht="20.05" customHeight="1">
      <c r="B34" s="26"/>
      <c r="C34" s="38">
        <v>2900</v>
      </c>
      <c r="D34" s="39"/>
    </row>
    <row r="35" ht="20.05" customHeight="1">
      <c r="B35" s="26"/>
      <c r="C35" s="38">
        <v>2560</v>
      </c>
      <c r="D35" s="39"/>
    </row>
    <row r="36" ht="20.05" customHeight="1">
      <c r="B36" s="26"/>
      <c r="C36" s="38">
        <v>2400</v>
      </c>
      <c r="D36" s="39"/>
    </row>
    <row r="37" ht="20.05" customHeight="1">
      <c r="B37" s="26"/>
      <c r="C37" s="38">
        <v>1960</v>
      </c>
      <c r="D37" s="39"/>
    </row>
    <row r="38" ht="20.05" customHeight="1">
      <c r="B38" s="26"/>
      <c r="C38" s="38">
        <v>1365</v>
      </c>
      <c r="D38" s="39"/>
    </row>
    <row r="39" ht="20.05" customHeight="1">
      <c r="B39" s="26"/>
      <c r="C39" s="38">
        <v>1400</v>
      </c>
      <c r="D39" s="39"/>
    </row>
    <row r="40" ht="20.05" customHeight="1">
      <c r="B40" s="27">
        <v>2019</v>
      </c>
      <c r="C40" s="38">
        <v>1750</v>
      </c>
      <c r="D40" s="39"/>
    </row>
    <row r="41" ht="20.05" customHeight="1">
      <c r="B41" s="26"/>
      <c r="C41" s="38">
        <v>1465</v>
      </c>
      <c r="D41" s="39"/>
    </row>
    <row r="42" ht="20.05" customHeight="1">
      <c r="B42" s="26"/>
      <c r="C42" s="38">
        <v>1420</v>
      </c>
      <c r="D42" s="39"/>
    </row>
    <row r="43" ht="20.05" customHeight="1">
      <c r="B43" s="26"/>
      <c r="C43" s="38">
        <v>1340</v>
      </c>
      <c r="D43" s="39"/>
    </row>
    <row r="44" ht="20.05" customHeight="1">
      <c r="B44" s="26"/>
      <c r="C44" s="38">
        <v>1435</v>
      </c>
      <c r="D44" s="39"/>
    </row>
    <row r="45" ht="20.05" customHeight="1">
      <c r="B45" s="26"/>
      <c r="C45" s="38">
        <v>1490</v>
      </c>
      <c r="D45" s="39"/>
    </row>
    <row r="46" ht="20.05" customHeight="1">
      <c r="B46" s="26"/>
      <c r="C46" s="38">
        <v>1325</v>
      </c>
      <c r="D46" s="39"/>
    </row>
    <row r="47" ht="20.05" customHeight="1">
      <c r="B47" s="26"/>
      <c r="C47" s="38">
        <v>1410</v>
      </c>
      <c r="D47" s="39"/>
    </row>
    <row r="48" ht="20.05" customHeight="1">
      <c r="B48" s="26"/>
      <c r="C48" s="38">
        <v>1340</v>
      </c>
      <c r="D48" s="39"/>
    </row>
    <row r="49" ht="20.05" customHeight="1">
      <c r="B49" s="26"/>
      <c r="C49" s="38">
        <v>1350</v>
      </c>
      <c r="D49" s="39"/>
    </row>
    <row r="50" ht="20.05" customHeight="1">
      <c r="B50" s="26"/>
      <c r="C50" s="38">
        <v>1315</v>
      </c>
      <c r="D50" s="39"/>
    </row>
    <row r="51" ht="20.05" customHeight="1">
      <c r="B51" s="26"/>
      <c r="C51" s="38">
        <v>1320</v>
      </c>
      <c r="D51" s="39"/>
    </row>
    <row r="52" ht="20.05" customHeight="1">
      <c r="B52" s="27">
        <v>2020</v>
      </c>
      <c r="C52" s="38">
        <v>1335</v>
      </c>
      <c r="D52" s="39"/>
    </row>
    <row r="53" ht="20.05" customHeight="1">
      <c r="B53" s="26"/>
      <c r="C53" s="38">
        <v>1175</v>
      </c>
      <c r="D53" s="39"/>
    </row>
    <row r="54" ht="20.05" customHeight="1">
      <c r="B54" s="26"/>
      <c r="C54" s="38">
        <v>1320</v>
      </c>
      <c r="D54" s="39"/>
    </row>
    <row r="55" ht="20.05" customHeight="1">
      <c r="B55" s="26"/>
      <c r="C55" s="38">
        <v>1255</v>
      </c>
      <c r="D55" s="39"/>
    </row>
    <row r="56" ht="20.05" customHeight="1">
      <c r="B56" s="26"/>
      <c r="C56" s="38">
        <v>1215</v>
      </c>
      <c r="D56" s="39"/>
    </row>
    <row r="57" ht="20.05" customHeight="1">
      <c r="B57" s="26"/>
      <c r="C57" s="38">
        <v>1190</v>
      </c>
      <c r="D57" s="39"/>
    </row>
    <row r="58" ht="20.05" customHeight="1">
      <c r="B58" s="26"/>
      <c r="C58" s="38">
        <v>1180</v>
      </c>
      <c r="D58" s="39"/>
    </row>
    <row r="59" ht="20.05" customHeight="1">
      <c r="B59" s="26"/>
      <c r="C59" s="38">
        <v>1520</v>
      </c>
      <c r="D59" s="39"/>
    </row>
    <row r="60" ht="20.05" customHeight="1">
      <c r="B60" s="26"/>
      <c r="C60" s="38">
        <v>1570</v>
      </c>
      <c r="D60" s="39"/>
    </row>
    <row r="61" ht="20.05" customHeight="1">
      <c r="B61" s="26"/>
      <c r="C61" s="38">
        <v>2180</v>
      </c>
      <c r="D61" s="39"/>
    </row>
    <row r="62" ht="20.05" customHeight="1">
      <c r="B62" s="26"/>
      <c r="C62" s="38">
        <v>2780</v>
      </c>
      <c r="D62" s="39"/>
    </row>
    <row r="63" ht="20.05" customHeight="1">
      <c r="B63" s="26"/>
      <c r="C63" s="38">
        <v>2980</v>
      </c>
      <c r="D63" s="39"/>
    </row>
    <row r="64" ht="20.05" customHeight="1">
      <c r="B64" s="27">
        <v>2021</v>
      </c>
      <c r="C64" s="16">
        <v>4860</v>
      </c>
      <c r="D64" s="39"/>
    </row>
    <row r="65" ht="20.05" customHeight="1">
      <c r="B65" s="26"/>
      <c r="C65" s="16">
        <v>6400</v>
      </c>
      <c r="D65" s="40">
        <v>7990.205443216220</v>
      </c>
    </row>
    <row r="66" ht="20.05" customHeight="1">
      <c r="B66" s="26"/>
      <c r="C66" s="16">
        <v>4880</v>
      </c>
      <c r="D66" s="40">
        <v>7990.205443216220</v>
      </c>
    </row>
    <row r="67" ht="20.05" customHeight="1">
      <c r="B67" s="26"/>
      <c r="C67" s="16">
        <v>5150</v>
      </c>
      <c r="D67" s="40">
        <v>7990.205443216220</v>
      </c>
    </row>
    <row r="68" ht="20.05" customHeight="1">
      <c r="B68" s="26"/>
      <c r="C68" s="16">
        <v>5125</v>
      </c>
      <c r="D68" s="40">
        <v>7409.804874782930</v>
      </c>
    </row>
    <row r="69" ht="20.05" customHeight="1">
      <c r="B69" s="26"/>
      <c r="C69" s="16">
        <v>5075</v>
      </c>
      <c r="D69" s="40">
        <v>7409.804874782930</v>
      </c>
    </row>
    <row r="70" ht="20.05" customHeight="1">
      <c r="B70" s="26"/>
      <c r="C70" s="16">
        <v>5750</v>
      </c>
      <c r="D70" s="40">
        <v>7409.804874782930</v>
      </c>
    </row>
    <row r="71" ht="20.05" customHeight="1">
      <c r="B71" s="26"/>
      <c r="C71" s="16">
        <v>4850</v>
      </c>
      <c r="D71" s="19"/>
    </row>
    <row r="72" ht="20.05" customHeight="1">
      <c r="B72" s="26"/>
      <c r="C72" s="16">
        <v>9300</v>
      </c>
      <c r="D72" s="39"/>
    </row>
    <row r="73" ht="20.05" customHeight="1">
      <c r="B73" s="26"/>
      <c r="C73" s="16">
        <v>7625</v>
      </c>
      <c r="D73" s="39"/>
    </row>
    <row r="74" ht="20.05" customHeight="1">
      <c r="B74" s="26"/>
      <c r="C74" s="16">
        <v>7925</v>
      </c>
      <c r="D74" s="40">
        <f>C74</f>
        <v>7925</v>
      </c>
    </row>
    <row r="75" ht="20.05" customHeight="1">
      <c r="B75" s="26"/>
      <c r="C75" s="16"/>
      <c r="D75" s="40">
        <f>'Model'!F43</f>
        <v>12480.0288748008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