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 " sheetId="4" r:id="rId7"/>
    <sheet name="Share price" sheetId="5" r:id="rId8"/>
    <sheet name="Capital" sheetId="6" r:id="rId9"/>
  </sheets>
</workbook>
</file>

<file path=xl/sharedStrings.xml><?xml version="1.0" encoding="utf-8"?>
<sst xmlns="http://schemas.openxmlformats.org/spreadsheetml/2006/main" uniqueCount="61">
  <si>
    <t>Financial model</t>
  </si>
  <si>
    <t>Rp bn</t>
  </si>
  <si>
    <t>4Q 2023</t>
  </si>
  <si>
    <t>Cashflow</t>
  </si>
  <si>
    <t>Growth</t>
  </si>
  <si>
    <t>Sales</t>
  </si>
  <si>
    <t>Cost ratio</t>
  </si>
  <si>
    <t>Cash costs</t>
  </si>
  <si>
    <t>Operating</t>
  </si>
  <si>
    <t>Investment</t>
  </si>
  <si>
    <t>Leases</t>
  </si>
  <si>
    <t>Finance</t>
  </si>
  <si>
    <t xml:space="preserve">Liabilities </t>
  </si>
  <si>
    <t>Revolver</t>
  </si>
  <si>
    <t>Payout</t>
  </si>
  <si>
    <t>Equity</t>
  </si>
  <si>
    <t>Before revolver</t>
  </si>
  <si>
    <t>Beginning</t>
  </si>
  <si>
    <t>Change</t>
  </si>
  <si>
    <t>Ending</t>
  </si>
  <si>
    <t>Profit</t>
  </si>
  <si>
    <t>Non cash costs</t>
  </si>
  <si>
    <t>Net profit</t>
  </si>
  <si>
    <t>Balance sheet</t>
  </si>
  <si>
    <t>Other assets</t>
  </si>
  <si>
    <t xml:space="preserve">Depreciation </t>
  </si>
  <si>
    <t>Net other assets</t>
  </si>
  <si>
    <t>Check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</si>
  <si>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</si>
  <si>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</si>
  <si>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</si>
  <si>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</si>
  <si>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</si>
  <si>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</si>
  <si>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</si>
  <si>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</si>
  <si>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</si>
  <si>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</si>
  <si>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</si>
  <si>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</si>
  <si>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>V target</t>
  </si>
  <si>
    <t xml:space="preserve">12 month growth </t>
  </si>
  <si>
    <t xml:space="preserve">Sales forecasts </t>
  </si>
  <si>
    <t>Rpbn</t>
  </si>
  <si>
    <t xml:space="preserve">Profit </t>
  </si>
  <si>
    <t xml:space="preserve">Sales growth </t>
  </si>
  <si>
    <t xml:space="preserve">Cost ratio </t>
  </si>
  <si>
    <t xml:space="preserve">Receipts </t>
  </si>
  <si>
    <t xml:space="preserve">Operating </t>
  </si>
  <si>
    <t xml:space="preserve">Investment </t>
  </si>
  <si>
    <t xml:space="preserve">Equity </t>
  </si>
  <si>
    <t>Free cash flow</t>
  </si>
  <si>
    <t xml:space="preserve">Cash </t>
  </si>
  <si>
    <t>Assets</t>
  </si>
  <si>
    <t xml:space="preserve">Check </t>
  </si>
  <si>
    <t>Net cash</t>
  </si>
  <si>
    <t>HMSP</t>
  </si>
  <si>
    <t>Target</t>
  </si>
  <si>
    <t xml:space="preserve">Previous </t>
  </si>
  <si>
    <t>Capital</t>
  </si>
  <si>
    <t>Total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</si>
</sst>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"/>
    <numFmt numFmtId="61" formatCode="#,##0.0%"/>
  </numFmts>
  <fonts count="9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  <font>
      <b val="1"/>
      <sz val="10"/>
      <color indexed="15"/>
      <name val="Arial"/>
    </font>
    <font>
      <b val="1"/>
      <sz val="10"/>
      <color indexed="17"/>
      <name val="Arial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9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1"/>
      </left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1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8" applyNumberFormat="1" applyFont="1" applyFill="1" applyBorder="1" applyAlignment="1" applyProtection="0">
      <alignment horizontal="center" vertical="top" wrapText="1"/>
    </xf>
    <xf numFmtId="49" fontId="2" fillId="2" borderId="8" applyNumberFormat="1" applyFont="1" applyFill="1" applyBorder="1" applyAlignment="1" applyProtection="0">
      <alignment vertical="top" wrapText="1"/>
    </xf>
    <xf numFmtId="3" fontId="3" borderId="9" applyNumberFormat="1" applyFont="1" applyFill="0" applyBorder="1" applyAlignment="1" applyProtection="0">
      <alignment horizontal="right" vertical="center" wrapText="1" readingOrder="1"/>
    </xf>
    <xf numFmtId="3" fontId="4" borderId="10" applyNumberFormat="1" applyFont="1" applyFill="0" applyBorder="1" applyAlignment="1" applyProtection="0">
      <alignment vertical="center" wrapText="1" readingOrder="1"/>
    </xf>
    <xf numFmtId="3" fontId="3" fillId="5" borderId="9" applyNumberFormat="1" applyFont="1" applyFill="1" applyBorder="1" applyAlignment="1" applyProtection="0">
      <alignment horizontal="right" vertical="center" wrapText="1" readingOrder="1"/>
    </xf>
    <xf numFmtId="3" fontId="4" fillId="5" borderId="10" applyNumberFormat="1" applyFont="1" applyFill="1" applyBorder="1" applyAlignment="1" applyProtection="0">
      <alignment vertical="center" wrapText="1" readingOrder="1"/>
    </xf>
    <xf numFmtId="3" fontId="5" borderId="10" applyNumberFormat="1" applyFont="1" applyFill="0" applyBorder="1" applyAlignment="1" applyProtection="0">
      <alignment vertical="center" wrapText="1" readingOrder="1"/>
    </xf>
    <xf numFmtId="3" fontId="3" borderId="11" applyNumberFormat="1" applyFont="1" applyFill="0" applyBorder="1" applyAlignment="1" applyProtection="0">
      <alignment horizontal="right" vertical="center" wrapText="1" readingOrder="1"/>
    </xf>
    <xf numFmtId="3" fontId="5" borderId="12" applyNumberFormat="1" applyFont="1" applyFill="0" applyBorder="1" applyAlignment="1" applyProtection="0">
      <alignment vertical="center" wrapText="1" readingOrder="1"/>
    </xf>
    <xf numFmtId="3" fontId="0" borderId="6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d9d9d9"/>
      <rgbColor rgb="ffff0000"/>
      <rgbColor rgb="ffffffff"/>
      <rgbColor rgb="ff0da500"/>
      <rgbColor rgb="ffb8b8b8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94816"/>
          <c:y val="0.0446669"/>
          <c:w val="0.796167"/>
          <c:h val="0.881683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'Capital'!$A$3:$A$22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strCache>
            </c:strRef>
          </c:cat>
          <c:val>
            <c:numRef>
              <c:f>'Capital'!$E$3:$E$22</c:f>
              <c:numCache>
                <c:ptCount val="20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-1179.000000</c:v>
                </c:pt>
                <c:pt idx="6">
                  <c:v>-2174.000000</c:v>
                </c:pt>
                <c:pt idx="7">
                  <c:v>-2255.000000</c:v>
                </c:pt>
                <c:pt idx="8">
                  <c:v>-2257.000000</c:v>
                </c:pt>
                <c:pt idx="9">
                  <c:v>-328.000000</c:v>
                </c:pt>
                <c:pt idx="10">
                  <c:v>235.000000</c:v>
                </c:pt>
                <c:pt idx="11">
                  <c:v>504.000000</c:v>
                </c:pt>
                <c:pt idx="12">
                  <c:v>-2525.000000</c:v>
                </c:pt>
                <c:pt idx="13">
                  <c:v>-2525.000000</c:v>
                </c:pt>
                <c:pt idx="14">
                  <c:v>-2525.000000</c:v>
                </c:pt>
                <c:pt idx="15">
                  <c:v>-2525.000000</c:v>
                </c:pt>
                <c:pt idx="16">
                  <c:v>-2518.000000</c:v>
                </c:pt>
                <c:pt idx="17">
                  <c:v>-2525.300000</c:v>
                </c:pt>
                <c:pt idx="18">
                  <c:v>-2446.300000</c:v>
                </c:pt>
                <c:pt idx="19">
                  <c:v>-2497.300000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'Capital'!$A$3:$A$22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strCache>
            </c:strRef>
          </c:cat>
          <c:val>
            <c:numRef>
              <c:f>'Capital'!$F$3:$F$22</c:f>
              <c:numCache>
                <c:ptCount val="20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-3463.000000</c:v>
                </c:pt>
                <c:pt idx="6">
                  <c:v>-5918.000000</c:v>
                </c:pt>
                <c:pt idx="7">
                  <c:v>-9271.000000</c:v>
                </c:pt>
                <c:pt idx="8">
                  <c:v>-21324.000000</c:v>
                </c:pt>
                <c:pt idx="9">
                  <c:v>-28118.000000</c:v>
                </c:pt>
                <c:pt idx="10">
                  <c:v>-38063.000000</c:v>
                </c:pt>
                <c:pt idx="11">
                  <c:v>-48713.000000</c:v>
                </c:pt>
                <c:pt idx="12">
                  <c:v>-40195.000000</c:v>
                </c:pt>
                <c:pt idx="13">
                  <c:v>-50547.000000</c:v>
                </c:pt>
                <c:pt idx="14">
                  <c:v>-63075.000000</c:v>
                </c:pt>
                <c:pt idx="15">
                  <c:v>-75556.000000</c:v>
                </c:pt>
                <c:pt idx="16">
                  <c:v>-89189.000000</c:v>
                </c:pt>
                <c:pt idx="17">
                  <c:v>-103124.000000</c:v>
                </c:pt>
                <c:pt idx="18">
                  <c:v>-111592.000000</c:v>
                </c:pt>
                <c:pt idx="19">
                  <c:v>-111592.000000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'Capital'!$A$3:$A$22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strCache>
            </c:strRef>
          </c:cat>
          <c:val>
            <c:numRef>
              <c:f>'Capital'!$G$3:$G$22</c:f>
              <c:numCache>
                <c:ptCount val="20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-4642.000000</c:v>
                </c:pt>
                <c:pt idx="6">
                  <c:v>-8092.000000</c:v>
                </c:pt>
                <c:pt idx="7">
                  <c:v>-11526.000000</c:v>
                </c:pt>
                <c:pt idx="8">
                  <c:v>-23581.000000</c:v>
                </c:pt>
                <c:pt idx="9">
                  <c:v>-28446.000000</c:v>
                </c:pt>
                <c:pt idx="10">
                  <c:v>-37828.000000</c:v>
                </c:pt>
                <c:pt idx="11">
                  <c:v>-48209.000000</c:v>
                </c:pt>
                <c:pt idx="12">
                  <c:v>-42720.000000</c:v>
                </c:pt>
                <c:pt idx="13">
                  <c:v>-53072.000000</c:v>
                </c:pt>
                <c:pt idx="14">
                  <c:v>-65600.000000</c:v>
                </c:pt>
                <c:pt idx="15">
                  <c:v>-78081.000000</c:v>
                </c:pt>
                <c:pt idx="16">
                  <c:v>-91707.000000</c:v>
                </c:pt>
                <c:pt idx="17">
                  <c:v>-105649.300000</c:v>
                </c:pt>
                <c:pt idx="18">
                  <c:v>-114038.300000</c:v>
                </c:pt>
                <c:pt idx="19">
                  <c:v>-114089.300000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37500"/>
        <c:minorUnit val="18750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288829"/>
          <c:y val="0.0617715"/>
          <c:w val="0.311239"/>
          <c:h val="0.15900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476713</xdr:colOff>
      <xdr:row>1</xdr:row>
      <xdr:rowOff>162755</xdr:rowOff>
    </xdr:from>
    <xdr:to>
      <xdr:col>13</xdr:col>
      <xdr:colOff>708989</xdr:colOff>
      <xdr:row>50</xdr:row>
      <xdr:rowOff>14607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77313" y="430090"/>
          <a:ext cx="8944477" cy="124286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278908</xdr:colOff>
      <xdr:row>29</xdr:row>
      <xdr:rowOff>102809</xdr:rowOff>
    </xdr:from>
    <xdr:to>
      <xdr:col>4</xdr:col>
      <xdr:colOff>204917</xdr:colOff>
      <xdr:row>42</xdr:row>
      <xdr:rowOff>149629</xdr:rowOff>
    </xdr:to>
    <xdr:graphicFrame>
      <xdr:nvGraphicFramePr>
        <xdr:cNvPr id="4" name="2D Line Chart"/>
        <xdr:cNvGraphicFramePr/>
      </xdr:nvGraphicFramePr>
      <xdr:xfrm>
        <a:off x="278908" y="7575489"/>
        <a:ext cx="3380410" cy="333231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15211</xdr:colOff>
      <xdr:row>25</xdr:row>
      <xdr:rowOff>117022</xdr:rowOff>
    </xdr:from>
    <xdr:to>
      <xdr:col>5</xdr:col>
      <xdr:colOff>233093</xdr:colOff>
      <xdr:row>29</xdr:row>
      <xdr:rowOff>88653</xdr:rowOff>
    </xdr:to>
    <xdr:sp>
      <xdr:nvSpPr>
        <xdr:cNvPr id="5" name="HMSP TOTAL CAPITAL PAID &gt; CURRENT MARKET CAP!"/>
        <xdr:cNvSpPr txBox="1"/>
      </xdr:nvSpPr>
      <xdr:spPr>
        <a:xfrm>
          <a:off x="15211" y="6578782"/>
          <a:ext cx="4535883" cy="98255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HMSP TOTAL CAPITAL PAID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&gt;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CURRENT MARKET CAP!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97656" style="1" customWidth="1"/>
    <col min="2" max="2" width="16.0469" style="1" customWidth="1"/>
    <col min="3" max="6" width="10.0703" style="1" customWidth="1"/>
    <col min="7" max="16384" width="16.3516" style="1" customWidth="1"/>
  </cols>
  <sheetData>
    <row r="1" ht="21.0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AVERAGE('Sales'!G29:G32)</f>
        <v>0.0268248396940337</v>
      </c>
      <c r="D4" s="8"/>
      <c r="E4" s="8"/>
      <c r="F4" s="9">
        <f>AVERAGE(C5:F5)</f>
        <v>0.0225</v>
      </c>
    </row>
    <row r="5" ht="20.05" customHeight="1">
      <c r="B5" t="s" s="10">
        <v>4</v>
      </c>
      <c r="C5" s="11">
        <v>0.02</v>
      </c>
      <c r="D5" s="12">
        <v>0.03</v>
      </c>
      <c r="E5" s="12">
        <v>0.04</v>
      </c>
      <c r="F5" s="12">
        <v>0</v>
      </c>
    </row>
    <row r="6" ht="20.05" customHeight="1">
      <c r="B6" t="s" s="10">
        <v>5</v>
      </c>
      <c r="C6" s="13">
        <f>'Sales'!C31*(1+C5)</f>
        <v>26882.814</v>
      </c>
      <c r="D6" s="14">
        <f>C6*(1+D5)</f>
        <v>27689.29842</v>
      </c>
      <c r="E6" s="14">
        <f>D6*(1+E5)</f>
        <v>28796.8703568</v>
      </c>
      <c r="F6" s="14">
        <f>E6*(1+F5)</f>
        <v>28796.8703568</v>
      </c>
    </row>
    <row r="7" ht="20.05" customHeight="1">
      <c r="B7" t="s" s="10">
        <v>6</v>
      </c>
      <c r="C7" s="15">
        <f>AVERAGE('Sales'!H27)</f>
        <v>-0.911595866819747</v>
      </c>
      <c r="D7" s="16">
        <f>C7</f>
        <v>-0.911595866819747</v>
      </c>
      <c r="E7" s="16">
        <f>D7</f>
        <v>-0.911595866819747</v>
      </c>
      <c r="F7" s="16">
        <f>E7</f>
        <v>-0.911595866819747</v>
      </c>
    </row>
    <row r="8" ht="20.05" customHeight="1">
      <c r="B8" t="s" s="10">
        <v>7</v>
      </c>
      <c r="C8" s="17">
        <f>C7*C6</f>
        <v>-24506.262130884</v>
      </c>
      <c r="D8" s="18">
        <f>D7*D6</f>
        <v>-25241.4499948106</v>
      </c>
      <c r="E8" s="18">
        <f>E7*E6</f>
        <v>-26251.107994603</v>
      </c>
      <c r="F8" s="18">
        <f>F7*F6</f>
        <v>-26251.107994603</v>
      </c>
    </row>
    <row r="9" ht="20.05" customHeight="1">
      <c r="B9" t="s" s="10">
        <v>8</v>
      </c>
      <c r="C9" s="17">
        <f>C6+C8</f>
        <v>2376.551869116</v>
      </c>
      <c r="D9" s="18">
        <f>D6+D8</f>
        <v>2447.8484251894</v>
      </c>
      <c r="E9" s="18">
        <f>E6+E8</f>
        <v>2545.762362197</v>
      </c>
      <c r="F9" s="18">
        <f>F6+F8</f>
        <v>2545.762362197</v>
      </c>
    </row>
    <row r="10" ht="20.05" customHeight="1">
      <c r="B10" t="s" s="10">
        <v>9</v>
      </c>
      <c r="C10" s="17">
        <f>AVERAGE('Cashflow'!E30)</f>
        <v>-3.6</v>
      </c>
      <c r="D10" s="18">
        <f>C10</f>
        <v>-3.6</v>
      </c>
      <c r="E10" s="18">
        <f>D10</f>
        <v>-3.6</v>
      </c>
      <c r="F10" s="18">
        <f>E10</f>
        <v>-3.6</v>
      </c>
    </row>
    <row r="11" ht="20.05" customHeight="1">
      <c r="B11" t="s" s="10">
        <v>10</v>
      </c>
      <c r="C11" s="17">
        <f>SUM('Cashflow'!F31:F32)</f>
        <v>-133.25</v>
      </c>
      <c r="D11" s="18">
        <f>C11</f>
        <v>-133.25</v>
      </c>
      <c r="E11" s="18">
        <f>D11</f>
        <v>-133.25</v>
      </c>
      <c r="F11" s="18">
        <f>E11</f>
        <v>-133.25</v>
      </c>
    </row>
    <row r="12" ht="20.05" customHeight="1">
      <c r="B12" t="s" s="10">
        <v>11</v>
      </c>
      <c r="C12" s="17">
        <f>C13+C16+C14</f>
        <v>-2372.951869116</v>
      </c>
      <c r="D12" s="18">
        <f>D13+D16+D14</f>
        <v>-2444.2484251894</v>
      </c>
      <c r="E12" s="18">
        <f>E13+E16+E14</f>
        <v>-2542.162362197</v>
      </c>
      <c r="F12" s="18">
        <f>F13+F16+F14</f>
        <v>-2542.162362197</v>
      </c>
    </row>
    <row r="13" ht="20.05" customHeight="1">
      <c r="B13" t="s" s="10">
        <v>12</v>
      </c>
      <c r="C13" s="17">
        <f>-('Balance Sheet '!F31)/20</f>
        <v>-1435.5</v>
      </c>
      <c r="D13" s="18">
        <f>-C28/20</f>
        <v>-1363.725</v>
      </c>
      <c r="E13" s="18">
        <f>-D28/20</f>
        <v>-1295.53875</v>
      </c>
      <c r="F13" s="18">
        <f>-E28/20</f>
        <v>-1230.7618125</v>
      </c>
    </row>
    <row r="14" ht="20.05" customHeight="1">
      <c r="B14" t="s" s="10">
        <v>13</v>
      </c>
      <c r="C14" s="17">
        <f>-MIN(0,C17)</f>
        <v>1162.1</v>
      </c>
      <c r="D14" s="18">
        <f>-MIN(C29,D17)</f>
        <v>1090.325</v>
      </c>
      <c r="E14" s="18">
        <f>-MIN(D29,E17)</f>
        <v>1022.13875</v>
      </c>
      <c r="F14" s="18">
        <f>-MIN(E29,F17)</f>
        <v>957.3618125</v>
      </c>
    </row>
    <row r="15" ht="20.05" customHeight="1">
      <c r="B15" t="s" s="10">
        <v>14</v>
      </c>
      <c r="C15" s="19">
        <v>1</v>
      </c>
      <c r="D15" s="18"/>
      <c r="E15" s="18"/>
      <c r="F15" s="18"/>
    </row>
    <row r="16" ht="20.05" customHeight="1">
      <c r="B16" t="s" s="10">
        <v>15</v>
      </c>
      <c r="C16" s="17">
        <f>IF(C23&gt;0,-C23*$C$15,0)</f>
        <v>-2099.551869116</v>
      </c>
      <c r="D16" s="18">
        <f>IF(D23&gt;0,-D23*$C$15,0)</f>
        <v>-2170.8484251894</v>
      </c>
      <c r="E16" s="18">
        <f>IF(E23&gt;0,-E23*$C$15,0)</f>
        <v>-2268.762362197</v>
      </c>
      <c r="F16" s="18">
        <f>IF(F23&gt;0,-F23*$C$15,0)</f>
        <v>-2268.762362197</v>
      </c>
    </row>
    <row r="17" ht="20.05" customHeight="1">
      <c r="B17" t="s" s="10">
        <v>16</v>
      </c>
      <c r="C17" s="17">
        <f>C9+C10+C13+C16</f>
        <v>-1162.1</v>
      </c>
      <c r="D17" s="18">
        <f>D9+D10+D13+D16</f>
        <v>-1090.325</v>
      </c>
      <c r="E17" s="18">
        <f>E9+E10+E13+E16</f>
        <v>-1022.13875</v>
      </c>
      <c r="F17" s="18">
        <f>F9+F10+F13+F16</f>
        <v>-957.3618125</v>
      </c>
    </row>
    <row r="18" ht="20.05" customHeight="1">
      <c r="B18" t="s" s="10">
        <v>17</v>
      </c>
      <c r="C18" s="17">
        <f>'Balance Sheet '!B31</f>
        <v>17217.6</v>
      </c>
      <c r="D18" s="18">
        <f>C20</f>
        <v>17217.6</v>
      </c>
      <c r="E18" s="18">
        <f>D20</f>
        <v>17217.6</v>
      </c>
      <c r="F18" s="18">
        <f>E20</f>
        <v>17217.6</v>
      </c>
    </row>
    <row r="19" ht="20.05" customHeight="1">
      <c r="B19" t="s" s="10">
        <v>18</v>
      </c>
      <c r="C19" s="17">
        <f>C9+C10+C12</f>
        <v>0</v>
      </c>
      <c r="D19" s="18">
        <f>D9+D10+D12</f>
        <v>0</v>
      </c>
      <c r="E19" s="18">
        <f>E9+E10+E12</f>
        <v>0</v>
      </c>
      <c r="F19" s="18">
        <f>F9+F10+F12</f>
        <v>0</v>
      </c>
    </row>
    <row r="20" ht="20.05" customHeight="1">
      <c r="B20" t="s" s="10">
        <v>19</v>
      </c>
      <c r="C20" s="17">
        <f>C18+C19</f>
        <v>17217.6</v>
      </c>
      <c r="D20" s="18">
        <f>D18+D19</f>
        <v>17217.6</v>
      </c>
      <c r="E20" s="18">
        <f>E18+E19</f>
        <v>17217.6</v>
      </c>
      <c r="F20" s="18">
        <f>F18+F19</f>
        <v>17217.6</v>
      </c>
    </row>
    <row r="21" ht="20.05" customHeight="1">
      <c r="B21" t="s" s="20">
        <v>20</v>
      </c>
      <c r="C21" s="21"/>
      <c r="D21" s="22"/>
      <c r="E21" s="22"/>
      <c r="F21" s="23"/>
    </row>
    <row r="22" ht="20.05" customHeight="1">
      <c r="B22" t="s" s="10">
        <v>21</v>
      </c>
      <c r="C22" s="17">
        <f>-AVERAGE('Sales'!E32)</f>
        <v>-277</v>
      </c>
      <c r="D22" s="18">
        <f>C22</f>
        <v>-277</v>
      </c>
      <c r="E22" s="18">
        <f>D22</f>
        <v>-277</v>
      </c>
      <c r="F22" s="18">
        <f>E22</f>
        <v>-277</v>
      </c>
    </row>
    <row r="23" ht="20.05" customHeight="1">
      <c r="B23" t="s" s="10">
        <v>22</v>
      </c>
      <c r="C23" s="17">
        <f>C6+C8+C22</f>
        <v>2099.551869116</v>
      </c>
      <c r="D23" s="18">
        <f>D6+D8+D22</f>
        <v>2170.8484251894</v>
      </c>
      <c r="E23" s="18">
        <f>E6+E8+E22</f>
        <v>2268.762362197</v>
      </c>
      <c r="F23" s="18">
        <f>F6+F8+F22</f>
        <v>2268.762362197</v>
      </c>
    </row>
    <row r="24" ht="20.05" customHeight="1">
      <c r="B24" t="s" s="20">
        <v>23</v>
      </c>
      <c r="C24" s="21"/>
      <c r="D24" s="22"/>
      <c r="E24" s="22"/>
      <c r="F24" s="18"/>
    </row>
    <row r="25" ht="20.05" customHeight="1">
      <c r="B25" t="s" s="10">
        <v>24</v>
      </c>
      <c r="C25" s="17">
        <f>'Balance Sheet '!D31+'Balance Sheet '!E31-C10</f>
        <v>51511.5</v>
      </c>
      <c r="D25" s="18">
        <f>C25-D10</f>
        <v>51515.1</v>
      </c>
      <c r="E25" s="18">
        <f>D25-E10</f>
        <v>51518.7</v>
      </c>
      <c r="F25" s="18">
        <f>E25-F10</f>
        <v>51522.3</v>
      </c>
    </row>
    <row r="26" ht="20.05" customHeight="1">
      <c r="B26" t="s" s="10">
        <v>25</v>
      </c>
      <c r="C26" s="17">
        <f>'Balance Sheet '!E31-C22</f>
        <v>9167.5</v>
      </c>
      <c r="D26" s="18">
        <f>C26-D22</f>
        <v>9444.5</v>
      </c>
      <c r="E26" s="18">
        <f>D26-E22</f>
        <v>9721.5</v>
      </c>
      <c r="F26" s="18">
        <f>E26-F22</f>
        <v>9998.5</v>
      </c>
    </row>
    <row r="27" ht="20.05" customHeight="1">
      <c r="B27" t="s" s="10">
        <v>26</v>
      </c>
      <c r="C27" s="17">
        <f>C25-C26</f>
        <v>42344</v>
      </c>
      <c r="D27" s="18">
        <f>D25-D26</f>
        <v>42070.6</v>
      </c>
      <c r="E27" s="18">
        <f>E25-E26</f>
        <v>41797.2</v>
      </c>
      <c r="F27" s="18">
        <f>F25-F26</f>
        <v>41523.8</v>
      </c>
    </row>
    <row r="28" ht="20.05" customHeight="1">
      <c r="B28" t="s" s="10">
        <v>12</v>
      </c>
      <c r="C28" s="17">
        <f>'Balance Sheet '!F31+C13</f>
        <v>27274.5</v>
      </c>
      <c r="D28" s="18">
        <f>C28+D13</f>
        <v>25910.775</v>
      </c>
      <c r="E28" s="18">
        <f>D28+E13</f>
        <v>24615.23625</v>
      </c>
      <c r="F28" s="18">
        <f>E28+F13</f>
        <v>23384.4744375</v>
      </c>
    </row>
    <row r="29" ht="20.05" customHeight="1">
      <c r="B29" t="s" s="10">
        <v>13</v>
      </c>
      <c r="C29" s="17">
        <f>C14</f>
        <v>1162.1</v>
      </c>
      <c r="D29" s="18">
        <f>C29+D14</f>
        <v>2252.425</v>
      </c>
      <c r="E29" s="18">
        <f>D29+E14</f>
        <v>3274.56375</v>
      </c>
      <c r="F29" s="18">
        <f>E29+F14</f>
        <v>4231.9255625</v>
      </c>
    </row>
    <row r="30" ht="20.05" customHeight="1">
      <c r="B30" t="s" s="10">
        <v>15</v>
      </c>
      <c r="C30" s="17">
        <f>'Balance Sheet '!G31+C23+C16</f>
        <v>31125</v>
      </c>
      <c r="D30" s="18">
        <f>C30+D23+D16</f>
        <v>31125</v>
      </c>
      <c r="E30" s="18">
        <f>D30+E23+E16</f>
        <v>31125</v>
      </c>
      <c r="F30" s="18">
        <f>E30+F23+F16</f>
        <v>31125</v>
      </c>
    </row>
    <row r="31" ht="20.05" customHeight="1">
      <c r="B31" t="s" s="10">
        <v>27</v>
      </c>
      <c r="C31" s="17">
        <f>C28+C29+C30-C20-C27</f>
        <v>0</v>
      </c>
      <c r="D31" s="18">
        <f>D28+D29+D30-D20-D27</f>
        <v>0</v>
      </c>
      <c r="E31" s="18">
        <f>E28+E29+E30-E20-E27</f>
        <v>0</v>
      </c>
      <c r="F31" s="18">
        <f>F28+F29+F30-F20-F27</f>
        <v>0</v>
      </c>
    </row>
    <row r="32" ht="20.05" customHeight="1">
      <c r="B32" t="s" s="10">
        <v>28</v>
      </c>
      <c r="C32" s="17">
        <f>C20-C28-C29</f>
        <v>-11219</v>
      </c>
      <c r="D32" s="18">
        <f>D20-D28-D29</f>
        <v>-10945.6</v>
      </c>
      <c r="E32" s="18">
        <f>E20-E28-E29</f>
        <v>-10672.2</v>
      </c>
      <c r="F32" s="18">
        <f>F20-F28-F29</f>
        <v>-10398.8</v>
      </c>
    </row>
    <row r="33" ht="20.05" customHeight="1">
      <c r="B33" t="s" s="20">
        <v>29</v>
      </c>
      <c r="C33" s="17"/>
      <c r="D33" s="18"/>
      <c r="E33" s="18"/>
      <c r="F33" s="18"/>
    </row>
    <row r="34" ht="20.05" customHeight="1">
      <c r="B34" t="s" s="10">
        <v>30</v>
      </c>
      <c r="C34" s="17">
        <f>'Cashflow'!M32-C12</f>
        <v>68675.151869116</v>
      </c>
      <c r="D34" s="18">
        <f>C34-D12</f>
        <v>71119.400294305393</v>
      </c>
      <c r="E34" s="18">
        <f>D34-E12</f>
        <v>73661.5626565024</v>
      </c>
      <c r="F34" s="18">
        <f>E34-F12</f>
        <v>76203.725018699406</v>
      </c>
    </row>
    <row r="35" ht="20.05" customHeight="1">
      <c r="B35" t="s" s="10">
        <v>31</v>
      </c>
      <c r="C35" s="17"/>
      <c r="D35" s="18"/>
      <c r="E35" s="18"/>
      <c r="F35" s="18">
        <v>112828463104000</v>
      </c>
    </row>
    <row r="36" ht="20.05" customHeight="1">
      <c r="B36" t="s" s="10">
        <v>31</v>
      </c>
      <c r="C36" s="17"/>
      <c r="D36" s="18"/>
      <c r="E36" s="18"/>
      <c r="F36" s="18">
        <f>F35/1000000000</f>
        <v>112828.463104</v>
      </c>
    </row>
    <row r="37" ht="20.05" customHeight="1">
      <c r="B37" t="s" s="10">
        <v>32</v>
      </c>
      <c r="C37" s="17"/>
      <c r="D37" s="18"/>
      <c r="E37" s="18"/>
      <c r="F37" s="24">
        <f>F36/(F20+F27)</f>
        <v>1.92076564576261</v>
      </c>
    </row>
    <row r="38" ht="20.05" customHeight="1">
      <c r="B38" t="s" s="10">
        <v>33</v>
      </c>
      <c r="C38" s="17"/>
      <c r="D38" s="18"/>
      <c r="E38" s="18"/>
      <c r="F38" s="16">
        <f>-(C16+D16+E16+F16)/F36</f>
        <v>0.0780647433846605</v>
      </c>
    </row>
    <row r="39" ht="20.05" customHeight="1">
      <c r="B39" t="s" s="10">
        <v>3</v>
      </c>
      <c r="C39" s="17"/>
      <c r="D39" s="18"/>
      <c r="E39" s="18"/>
      <c r="F39" s="18">
        <f>SUM(C9:F11)</f>
        <v>9368.5250186994</v>
      </c>
    </row>
    <row r="40" ht="20.05" customHeight="1">
      <c r="B40" t="s" s="10">
        <v>34</v>
      </c>
      <c r="C40" s="17"/>
      <c r="D40" s="18"/>
      <c r="E40" s="18"/>
      <c r="F40" s="18">
        <f>'Balance Sheet '!D31/F39</f>
        <v>4.54899783209592</v>
      </c>
    </row>
    <row r="41" ht="20.05" customHeight="1">
      <c r="B41" t="s" s="10">
        <v>29</v>
      </c>
      <c r="C41" s="17"/>
      <c r="D41" s="18"/>
      <c r="E41" s="18"/>
      <c r="F41" s="18">
        <f>F36/F39</f>
        <v>12.0433539835563</v>
      </c>
    </row>
    <row r="42" ht="20.05" customHeight="1">
      <c r="B42" t="s" s="10">
        <v>35</v>
      </c>
      <c r="C42" s="17"/>
      <c r="D42" s="18"/>
      <c r="E42" s="18"/>
      <c r="F42" s="18">
        <v>20</v>
      </c>
    </row>
    <row r="43" ht="20.05" customHeight="1">
      <c r="B43" t="s" s="10">
        <v>36</v>
      </c>
      <c r="C43" s="17"/>
      <c r="D43" s="18"/>
      <c r="E43" s="18"/>
      <c r="F43" s="18">
        <f>F39*F42</f>
        <v>187370.500373988</v>
      </c>
    </row>
    <row r="44" ht="20.05" customHeight="1">
      <c r="B44" t="s" s="10">
        <v>37</v>
      </c>
      <c r="C44" s="17"/>
      <c r="D44" s="18"/>
      <c r="E44" s="18"/>
      <c r="F44" s="18">
        <f>F36/F46</f>
        <v>116.3180032</v>
      </c>
    </row>
    <row r="45" ht="20.05" customHeight="1">
      <c r="B45" t="s" s="10">
        <v>38</v>
      </c>
      <c r="C45" s="17"/>
      <c r="D45" s="18"/>
      <c r="E45" s="18"/>
      <c r="F45" s="18">
        <f>F43/F44</f>
        <v>1610.846947327820</v>
      </c>
    </row>
    <row r="46" ht="20.05" customHeight="1">
      <c r="B46" t="s" s="10">
        <v>39</v>
      </c>
      <c r="C46" s="17"/>
      <c r="D46" s="18"/>
      <c r="E46" s="18"/>
      <c r="F46" s="18">
        <v>970</v>
      </c>
    </row>
    <row r="47" ht="20.05" customHeight="1">
      <c r="B47" t="s" s="10">
        <v>40</v>
      </c>
      <c r="C47" s="17"/>
      <c r="D47" s="18"/>
      <c r="E47" s="18"/>
      <c r="F47" s="16">
        <f>F45/F46-1</f>
        <v>0.660666956008062</v>
      </c>
    </row>
    <row r="48" ht="20.05" customHeight="1">
      <c r="B48" t="s" s="10">
        <v>41</v>
      </c>
      <c r="C48" s="17"/>
      <c r="D48" s="18"/>
      <c r="E48" s="18"/>
      <c r="F48" s="16">
        <f>'Sales'!C32/'Sales'!C28-1</f>
        <v>0.110493250700399</v>
      </c>
    </row>
    <row r="49" ht="20.05" customHeight="1">
      <c r="B49" t="s" s="10">
        <v>42</v>
      </c>
      <c r="C49" s="17"/>
      <c r="D49" s="18"/>
      <c r="E49" s="18"/>
      <c r="F49" s="16">
        <f>'Sales'!F35/'Sales'!E35-1</f>
        <v>0.021099725879762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76562" style="25" customWidth="1"/>
    <col min="2" max="2" width="10.5391" style="25" customWidth="1"/>
    <col min="3" max="10" width="9.96094" style="25" customWidth="1"/>
    <col min="11" max="16384" width="16.3516" style="25" customWidth="1"/>
  </cols>
  <sheetData>
    <row r="1" ht="26.4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43</v>
      </c>
      <c r="C3" t="s" s="5">
        <v>5</v>
      </c>
      <c r="D3" t="s" s="5">
        <v>35</v>
      </c>
      <c r="E3" t="s" s="5">
        <v>25</v>
      </c>
      <c r="F3" t="s" s="5">
        <v>44</v>
      </c>
      <c r="G3" t="s" s="5">
        <v>45</v>
      </c>
      <c r="H3" t="s" s="5">
        <v>46</v>
      </c>
      <c r="I3" t="s" s="5">
        <v>46</v>
      </c>
      <c r="J3" t="s" s="5">
        <v>35</v>
      </c>
    </row>
    <row r="4" ht="20.25" customHeight="1">
      <c r="B4" s="26">
        <v>2015</v>
      </c>
      <c r="C4" s="27">
        <v>21561.8</v>
      </c>
      <c r="D4" s="28"/>
      <c r="E4" s="29">
        <v>152.956</v>
      </c>
      <c r="F4" s="29">
        <v>2899.3</v>
      </c>
      <c r="G4" s="30"/>
      <c r="H4" s="31">
        <f>(E4+F4-C4)/C4</f>
        <v>-0.858441503028504</v>
      </c>
      <c r="I4" s="31"/>
      <c r="J4" s="31"/>
    </row>
    <row r="5" ht="20.05" customHeight="1">
      <c r="B5" s="32"/>
      <c r="C5" s="17">
        <v>22181.2</v>
      </c>
      <c r="D5" s="22"/>
      <c r="E5" s="18">
        <v>159.465</v>
      </c>
      <c r="F5" s="18">
        <v>2112.4</v>
      </c>
      <c r="G5" s="16">
        <f>C5/C4-1</f>
        <v>0.0287267296793403</v>
      </c>
      <c r="H5" s="16">
        <f>(E5+F5-C5)/C5</f>
        <v>-0.897577002145961</v>
      </c>
      <c r="I5" s="16"/>
      <c r="J5" s="16"/>
    </row>
    <row r="6" ht="20.05" customHeight="1">
      <c r="B6" s="32"/>
      <c r="C6" s="17">
        <v>21774.7</v>
      </c>
      <c r="D6" s="22"/>
      <c r="E6" s="18">
        <v>171.734</v>
      </c>
      <c r="F6" s="18">
        <v>2584.8</v>
      </c>
      <c r="G6" s="16">
        <f>C6/C5-1</f>
        <v>-0.0183263304059293</v>
      </c>
      <c r="H6" s="16">
        <f>(E6+F6-C6)/C6</f>
        <v>-0.873406568173155</v>
      </c>
      <c r="I6" s="16"/>
      <c r="J6" s="16"/>
    </row>
    <row r="7" ht="20.05" customHeight="1">
      <c r="B7" s="32"/>
      <c r="C7" s="17">
        <v>23551.6</v>
      </c>
      <c r="D7" s="22"/>
      <c r="E7" s="18">
        <v>191.47</v>
      </c>
      <c r="F7" s="18">
        <v>2766.5</v>
      </c>
      <c r="G7" s="16">
        <f>C7/C6-1</f>
        <v>0.08160387973198251</v>
      </c>
      <c r="H7" s="16">
        <f>(E7+F7-C7)/C7</f>
        <v>-0.87440471135719</v>
      </c>
      <c r="I7" s="16"/>
      <c r="J7" s="16"/>
    </row>
    <row r="8" ht="20.05" customHeight="1">
      <c r="B8" s="33">
        <v>2016</v>
      </c>
      <c r="C8" s="17">
        <v>21921.3</v>
      </c>
      <c r="D8" s="22"/>
      <c r="E8" s="18">
        <v>176.516</v>
      </c>
      <c r="F8" s="18">
        <v>3118.7</v>
      </c>
      <c r="G8" s="16">
        <f>C8/C7-1</f>
        <v>-0.0692224732077651</v>
      </c>
      <c r="H8" s="16">
        <f>(E8+F8-C8)/C8</f>
        <v>-0.849679717899942</v>
      </c>
      <c r="I8" s="12"/>
      <c r="J8" s="12"/>
    </row>
    <row r="9" ht="20.05" customHeight="1">
      <c r="B9" s="32"/>
      <c r="C9" s="17">
        <v>25414.7</v>
      </c>
      <c r="D9" s="22"/>
      <c r="E9" s="18">
        <v>180.458</v>
      </c>
      <c r="F9" s="18">
        <v>3029.3</v>
      </c>
      <c r="G9" s="16">
        <f>C9/C8-1</f>
        <v>0.15936098680279</v>
      </c>
      <c r="H9" s="16">
        <f>(E9+F9-C9)/C9</f>
        <v>-0.873704666984068</v>
      </c>
      <c r="I9" s="12"/>
      <c r="J9" s="12"/>
    </row>
    <row r="10" ht="20.05" customHeight="1">
      <c r="B10" s="32"/>
      <c r="C10" s="17">
        <v>22939.4</v>
      </c>
      <c r="D10" s="22"/>
      <c r="E10" s="18">
        <v>188.723</v>
      </c>
      <c r="F10" s="18">
        <v>2933.3</v>
      </c>
      <c r="G10" s="16">
        <f>C10/C9-1</f>
        <v>-0.09739638870417509</v>
      </c>
      <c r="H10" s="16">
        <f>(E10+F10-C10)/C10</f>
        <v>-0.863901279022119</v>
      </c>
      <c r="I10" s="12"/>
      <c r="J10" s="12"/>
    </row>
    <row r="11" ht="20.05" customHeight="1">
      <c r="B11" s="32"/>
      <c r="C11" s="17">
        <v>25191.2</v>
      </c>
      <c r="D11" s="22"/>
      <c r="E11" s="18">
        <v>199.222</v>
      </c>
      <c r="F11" s="18">
        <v>3680.7</v>
      </c>
      <c r="G11" s="16">
        <f>C11/C10-1</f>
        <v>0.098162985954297</v>
      </c>
      <c r="H11" s="16">
        <f>(E11+F11-C11)/C11</f>
        <v>-0.845981056877005</v>
      </c>
      <c r="I11" s="12"/>
      <c r="J11" s="12"/>
    </row>
    <row r="12" ht="20.05" customHeight="1">
      <c r="B12" s="33">
        <v>2017</v>
      </c>
      <c r="C12" s="17">
        <v>22575.8</v>
      </c>
      <c r="D12" s="22"/>
      <c r="E12" s="18">
        <v>200.458</v>
      </c>
      <c r="F12" s="18">
        <v>3291</v>
      </c>
      <c r="G12" s="16">
        <f>C12/C11-1</f>
        <v>-0.103821969576678</v>
      </c>
      <c r="H12" s="16">
        <f>(E12+F12-C12)/C12</f>
        <v>-0.8453451040494691</v>
      </c>
      <c r="I12" s="12">
        <f>AVERAGE(H9:H12)</f>
        <v>-0.857233026733165</v>
      </c>
      <c r="J12" s="12"/>
    </row>
    <row r="13" ht="20.05" customHeight="1">
      <c r="B13" s="32"/>
      <c r="C13" s="17">
        <v>24013.8</v>
      </c>
      <c r="D13" s="22"/>
      <c r="E13" s="18">
        <v>205.162</v>
      </c>
      <c r="F13" s="18">
        <v>2758.9</v>
      </c>
      <c r="G13" s="16">
        <f>C13/C12-1</f>
        <v>0.063696524597135</v>
      </c>
      <c r="H13" s="16">
        <f>(E13+F13-C13)/C13</f>
        <v>-0.876568389842507</v>
      </c>
      <c r="I13" s="12">
        <f>AVERAGE(H10:H13)</f>
        <v>-0.857948957447775</v>
      </c>
      <c r="J13" s="12"/>
    </row>
    <row r="14" ht="20.05" customHeight="1">
      <c r="B14" s="32"/>
      <c r="C14" s="17">
        <v>25704.3</v>
      </c>
      <c r="D14" s="22"/>
      <c r="E14" s="18">
        <v>212.292</v>
      </c>
      <c r="F14" s="18">
        <v>3288</v>
      </c>
      <c r="G14" s="16">
        <f>C14/C13-1</f>
        <v>0.0703970217125153</v>
      </c>
      <c r="H14" s="16">
        <f>(E14+F14-C14)/C14</f>
        <v>-0.86382465190649</v>
      </c>
      <c r="I14" s="12">
        <f>AVERAGE(H11:H14)</f>
        <v>-0.857929800668868</v>
      </c>
      <c r="J14" s="12"/>
    </row>
    <row r="15" ht="20.05" customHeight="1">
      <c r="B15" s="32"/>
      <c r="C15" s="17">
        <v>26797.5</v>
      </c>
      <c r="D15" s="22"/>
      <c r="E15" s="18">
        <v>267.747</v>
      </c>
      <c r="F15" s="18">
        <v>3332.6</v>
      </c>
      <c r="G15" s="16">
        <f>C15/C14-1</f>
        <v>0.0425298490913972</v>
      </c>
      <c r="H15" s="16">
        <f>(E15+F15-C15)/C15</f>
        <v>-0.865646161022483</v>
      </c>
      <c r="I15" s="12">
        <f>AVERAGE(H12:H15)</f>
        <v>-0.8628460767052371</v>
      </c>
      <c r="J15" s="12"/>
    </row>
    <row r="16" ht="20.05" customHeight="1">
      <c r="B16" s="33">
        <v>2018</v>
      </c>
      <c r="C16" s="17">
        <v>23136</v>
      </c>
      <c r="D16" s="22"/>
      <c r="E16" s="18">
        <v>223.554</v>
      </c>
      <c r="F16" s="18">
        <v>3032.4</v>
      </c>
      <c r="G16" s="16">
        <f>C16/C15-1</f>
        <v>-0.136635880212706</v>
      </c>
      <c r="H16" s="16">
        <f>(E16+F16-C16)/C16</f>
        <v>-0.85926893153527</v>
      </c>
      <c r="I16" s="12">
        <f>AVERAGE(H13:H16)</f>
        <v>-0.8663270335766881</v>
      </c>
      <c r="J16" s="12"/>
    </row>
    <row r="17" ht="20.05" customHeight="1">
      <c r="B17" s="32"/>
      <c r="C17" s="17">
        <v>26021.5</v>
      </c>
      <c r="D17" s="22"/>
      <c r="E17" s="18">
        <v>227.293</v>
      </c>
      <c r="F17" s="18">
        <v>3080.5</v>
      </c>
      <c r="G17" s="16">
        <f>C17/C16-1</f>
        <v>0.124719052558783</v>
      </c>
      <c r="H17" s="16">
        <f>(E17+F17-C17)/C17</f>
        <v>-0.872882308859981</v>
      </c>
      <c r="I17" s="12">
        <f>AVERAGE(H14:H17)</f>
        <v>-0.865405513331056</v>
      </c>
      <c r="J17" s="12"/>
    </row>
    <row r="18" ht="20.05" customHeight="1">
      <c r="B18" s="32"/>
      <c r="C18" s="17">
        <v>28377.3</v>
      </c>
      <c r="D18" s="22"/>
      <c r="E18" s="18">
        <v>252.521</v>
      </c>
      <c r="F18" s="18">
        <v>3577.1</v>
      </c>
      <c r="G18" s="16">
        <f>C18/C17-1</f>
        <v>0.0905328286224853</v>
      </c>
      <c r="H18" s="16">
        <f>(E18+F18-C18)/C18</f>
        <v>-0.865046322236435</v>
      </c>
      <c r="I18" s="12">
        <f>AVERAGE(H15:H18)</f>
        <v>-0.865710930913542</v>
      </c>
      <c r="J18" s="12"/>
    </row>
    <row r="19" ht="20.05" customHeight="1">
      <c r="B19" s="32"/>
      <c r="C19" s="17">
        <v>29207</v>
      </c>
      <c r="D19" s="22"/>
      <c r="E19" s="18">
        <v>270.518</v>
      </c>
      <c r="F19" s="18">
        <v>3848.4</v>
      </c>
      <c r="G19" s="16">
        <f>C19/C18-1</f>
        <v>0.029238158669077</v>
      </c>
      <c r="H19" s="16">
        <f>(E19+F19-C19)/C19</f>
        <v>-0.858974971753347</v>
      </c>
      <c r="I19" s="12">
        <f>AVERAGE(H16:H19)</f>
        <v>-0.864043133596258</v>
      </c>
      <c r="J19" s="12"/>
    </row>
    <row r="20" ht="20.05" customHeight="1">
      <c r="B20" s="33">
        <v>2019</v>
      </c>
      <c r="C20" s="17">
        <v>23805.5</v>
      </c>
      <c r="D20" s="22"/>
      <c r="E20" s="18">
        <v>343.5</v>
      </c>
      <c r="F20" s="18">
        <v>3285.6</v>
      </c>
      <c r="G20" s="16">
        <f>C20/C19-1</f>
        <v>-0.184938542130311</v>
      </c>
      <c r="H20" s="16">
        <f>(E20+F20-C20)/C20</f>
        <v>-0.847552036294134</v>
      </c>
      <c r="I20" s="12">
        <f>AVERAGE(H17:H20)</f>
        <v>-0.861113909785974</v>
      </c>
      <c r="J20" s="12"/>
    </row>
    <row r="21" ht="20.05" customHeight="1">
      <c r="B21" s="32"/>
      <c r="C21" s="17">
        <v>26914.2</v>
      </c>
      <c r="D21" s="22"/>
      <c r="E21" s="18">
        <v>343.5</v>
      </c>
      <c r="F21" s="18">
        <v>3484.4</v>
      </c>
      <c r="G21" s="16">
        <f>C21/C20-1</f>
        <v>0.130587469282309</v>
      </c>
      <c r="H21" s="16">
        <f>(E21+F21-C21)/C21</f>
        <v>-0.8577739631867189</v>
      </c>
      <c r="I21" s="12">
        <f>AVERAGE(H18:H21)</f>
        <v>-0.857336823367659</v>
      </c>
      <c r="J21" s="12"/>
    </row>
    <row r="22" ht="20.05" customHeight="1">
      <c r="B22" s="32"/>
      <c r="C22" s="17">
        <v>26787.5</v>
      </c>
      <c r="D22" s="22"/>
      <c r="E22" s="18">
        <v>343.5</v>
      </c>
      <c r="F22" s="18">
        <v>3430</v>
      </c>
      <c r="G22" s="16">
        <f>C22/C21-1</f>
        <v>-0.00470755214719367</v>
      </c>
      <c r="H22" s="16">
        <f>(E22+F22-C22)/C22</f>
        <v>-0.859132057862809</v>
      </c>
      <c r="I22" s="12">
        <f>AVERAGE(H19:H22)</f>
        <v>-0.855858257274252</v>
      </c>
      <c r="J22" s="12"/>
    </row>
    <row r="23" ht="20.05" customHeight="1">
      <c r="B23" s="32"/>
      <c r="C23" s="17">
        <v>28547.8</v>
      </c>
      <c r="D23" s="18">
        <v>29207</v>
      </c>
      <c r="E23" s="18">
        <v>343.5</v>
      </c>
      <c r="F23" s="18">
        <v>3521</v>
      </c>
      <c r="G23" s="16">
        <f>C23/C22-1</f>
        <v>0.0657134857676155</v>
      </c>
      <c r="H23" s="16">
        <f>(E23+F23-C23)/C23</f>
        <v>-0.864630549464407</v>
      </c>
      <c r="I23" s="12">
        <f>AVERAGE(H20:H23)</f>
        <v>-0.857272151702017</v>
      </c>
      <c r="J23" s="12"/>
    </row>
    <row r="24" ht="20.05" customHeight="1">
      <c r="B24" s="33">
        <v>2020</v>
      </c>
      <c r="C24" s="17">
        <v>23688.7</v>
      </c>
      <c r="D24" s="18">
        <v>24281.61</v>
      </c>
      <c r="E24" s="18">
        <v>332</v>
      </c>
      <c r="F24" s="18">
        <v>3321.6</v>
      </c>
      <c r="G24" s="16">
        <f>C24/C23-1</f>
        <v>-0.170209263060551</v>
      </c>
      <c r="H24" s="16">
        <f>(E24+F24-C24)/C24</f>
        <v>-0.845766124776792</v>
      </c>
      <c r="I24" s="12">
        <f>AVERAGE(H21:H24)</f>
        <v>-0.856825673822682</v>
      </c>
      <c r="J24" s="12"/>
    </row>
    <row r="25" ht="20.05" customHeight="1">
      <c r="B25" s="32"/>
      <c r="C25" s="17">
        <v>21044.3</v>
      </c>
      <c r="D25" s="22"/>
      <c r="E25" s="18">
        <v>332</v>
      </c>
      <c r="F25" s="18">
        <v>1564.4</v>
      </c>
      <c r="G25" s="16">
        <f>C25/C24-1</f>
        <v>-0.111631284114367</v>
      </c>
      <c r="H25" s="16">
        <f>(E25+F25-C25)/C25</f>
        <v>-0.909885337122166</v>
      </c>
      <c r="I25" s="12">
        <f>AVERAGE(H22:H25)</f>
        <v>-0.869853517306544</v>
      </c>
      <c r="J25" s="12"/>
    </row>
    <row r="26" ht="20.05" customHeight="1">
      <c r="B26" s="32"/>
      <c r="C26" s="17">
        <v>23046</v>
      </c>
      <c r="D26" s="18">
        <v>23573</v>
      </c>
      <c r="E26" s="18">
        <v>332</v>
      </c>
      <c r="F26" s="18">
        <v>2025</v>
      </c>
      <c r="G26" s="16">
        <f>C26/C25-1</f>
        <v>0.0951183931040709</v>
      </c>
      <c r="H26" s="16">
        <f>(E26+F26-C26)/C26</f>
        <v>-0.89772628655732</v>
      </c>
      <c r="I26" s="12">
        <f>AVERAGE(H23:H26)</f>
        <v>-0.879502074480171</v>
      </c>
      <c r="J26" s="12"/>
    </row>
    <row r="27" ht="20.05" customHeight="1">
      <c r="B27" s="32"/>
      <c r="C27" s="17">
        <v>22646</v>
      </c>
      <c r="D27" s="18">
        <v>25350.6</v>
      </c>
      <c r="E27" s="18">
        <v>332</v>
      </c>
      <c r="F27" s="18">
        <v>1670</v>
      </c>
      <c r="G27" s="16">
        <f>C27/C26-1</f>
        <v>-0.0173565911654951</v>
      </c>
      <c r="H27" s="16">
        <f>(E27+F27-C27)/C27</f>
        <v>-0.911595866819747</v>
      </c>
      <c r="I27" s="12">
        <f>AVERAGE(H24:H27)</f>
        <v>-0.891243403819006</v>
      </c>
      <c r="J27" s="12"/>
    </row>
    <row r="28" ht="20.05" customHeight="1">
      <c r="B28" s="33">
        <v>2021</v>
      </c>
      <c r="C28" s="17">
        <v>23558</v>
      </c>
      <c r="D28" s="18">
        <v>22646</v>
      </c>
      <c r="E28" s="18">
        <v>289.5</v>
      </c>
      <c r="F28" s="18">
        <v>2586</v>
      </c>
      <c r="G28" s="16">
        <f>C28/C27-1</f>
        <v>0.0402720127174777</v>
      </c>
      <c r="H28" s="16">
        <f>(E28+F28-C28)/C28</f>
        <v>-0.877939553442567</v>
      </c>
      <c r="I28" s="12">
        <f>AVERAGE(H25:H28)</f>
        <v>-0.89928676098545</v>
      </c>
      <c r="J28" s="12"/>
    </row>
    <row r="29" ht="20.05" customHeight="1">
      <c r="B29" s="32"/>
      <c r="C29" s="17">
        <f>47628.1-C28</f>
        <v>24070.1</v>
      </c>
      <c r="D29" s="18">
        <v>25207.06</v>
      </c>
      <c r="E29" s="18">
        <v>289.5</v>
      </c>
      <c r="F29" s="18">
        <f>4134-F28</f>
        <v>1548</v>
      </c>
      <c r="G29" s="16">
        <f>C29/C28-1</f>
        <v>0.0217378385261907</v>
      </c>
      <c r="H29" s="16">
        <f>(E29+F29-C29)/C29</f>
        <v>-0.923660475029186</v>
      </c>
      <c r="I29" s="12">
        <f>AVERAGE(H26:H29)</f>
        <v>-0.902730545462205</v>
      </c>
      <c r="J29" s="12"/>
    </row>
    <row r="30" ht="20.05" customHeight="1">
      <c r="B30" s="32"/>
      <c r="C30" s="17">
        <f>72519.3-SUM(C28:C29)</f>
        <v>24891.2</v>
      </c>
      <c r="D30" s="14">
        <v>25032.904</v>
      </c>
      <c r="E30" s="18">
        <v>289.5</v>
      </c>
      <c r="F30" s="18">
        <f>5554.5-SUM(F28:F29)</f>
        <v>1420.5</v>
      </c>
      <c r="G30" s="16">
        <f>C30/C29-1</f>
        <v>0.0341128620155296</v>
      </c>
      <c r="H30" s="16">
        <f>(E30+F30-C30)/C30</f>
        <v>-0.931301022047953</v>
      </c>
      <c r="I30" s="12">
        <f>AVERAGE(H27:H30)</f>
        <v>-0.911124229334863</v>
      </c>
      <c r="J30" s="12"/>
    </row>
    <row r="31" ht="20.05" customHeight="1">
      <c r="B31" s="32"/>
      <c r="C31" s="17">
        <f>98875-C30-C29-C28</f>
        <v>26355.7</v>
      </c>
      <c r="D31" s="14">
        <f>'Model'!C6</f>
        <v>26882.814</v>
      </c>
      <c r="E31" s="18">
        <v>289.5</v>
      </c>
      <c r="F31" s="18">
        <f>7137-F30-F29-F28</f>
        <v>1582.5</v>
      </c>
      <c r="G31" s="16">
        <f>C31/C30-1</f>
        <v>0.0588360545092241</v>
      </c>
      <c r="H31" s="16">
        <f>(E31+F31-C31)/C31</f>
        <v>-0.928971721487193</v>
      </c>
      <c r="I31" s="12">
        <f>AVERAGE(H28:H31)</f>
        <v>-0.915468193001725</v>
      </c>
      <c r="J31" s="23"/>
    </row>
    <row r="32" ht="20.05" customHeight="1">
      <c r="B32" s="33">
        <v>2023</v>
      </c>
      <c r="C32" s="17">
        <v>26161</v>
      </c>
      <c r="D32" s="14">
        <v>25637.936</v>
      </c>
      <c r="E32" s="22">
        <v>277</v>
      </c>
      <c r="F32" s="22">
        <v>1915</v>
      </c>
      <c r="G32" s="16">
        <f>C32/C31-1</f>
        <v>-0.00738739627480962</v>
      </c>
      <c r="H32" s="16">
        <f>(E32+F32-C32)/C32</f>
        <v>-0.916211154007874</v>
      </c>
      <c r="I32" s="12">
        <f>AVERAGE(H29:H32)</f>
        <v>-0.925036093143052</v>
      </c>
      <c r="J32" s="12">
        <f>I32</f>
        <v>-0.925036093143052</v>
      </c>
    </row>
    <row r="33" ht="20.05" customHeight="1">
      <c r="B33" s="32"/>
      <c r="C33" s="17"/>
      <c r="D33" s="14">
        <f>'Model'!C6</f>
        <v>26882.814</v>
      </c>
      <c r="E33" s="22"/>
      <c r="F33" s="22"/>
      <c r="G33" s="12"/>
      <c r="H33" s="12"/>
      <c r="I33" s="12"/>
      <c r="J33" s="12">
        <f>'Model'!C7</f>
        <v>-0.911595866819747</v>
      </c>
    </row>
    <row r="34" ht="20.05" customHeight="1">
      <c r="B34" s="32"/>
      <c r="C34" s="17"/>
      <c r="D34" s="18">
        <f>'Model'!D6</f>
        <v>27689.29842</v>
      </c>
      <c r="E34" s="22"/>
      <c r="F34" s="22"/>
      <c r="G34" s="12"/>
      <c r="H34" s="12"/>
      <c r="I34" s="12"/>
      <c r="J34" s="12"/>
    </row>
    <row r="35" ht="20.05" customHeight="1">
      <c r="B35" s="32"/>
      <c r="C35" s="17"/>
      <c r="D35" s="18">
        <f>'Model'!E6</f>
        <v>28796.8703568</v>
      </c>
      <c r="E35" s="18">
        <f>SUM(C26:C32)</f>
        <v>170728</v>
      </c>
      <c r="F35" s="18">
        <f>SUM(D26:D32)</f>
        <v>174330.314</v>
      </c>
      <c r="G35" s="12"/>
      <c r="H35" s="12"/>
      <c r="I35" s="12"/>
      <c r="J35" s="12"/>
    </row>
    <row r="36" ht="20.05" customHeight="1">
      <c r="B36" s="33">
        <v>2023</v>
      </c>
      <c r="C36" s="17"/>
      <c r="D36" s="18">
        <f>'Model'!F6</f>
        <v>28796.8703568</v>
      </c>
      <c r="E36" s="22"/>
      <c r="F36" s="22"/>
      <c r="G36" s="12"/>
      <c r="H36" s="12"/>
      <c r="I36" s="12"/>
      <c r="J36" s="12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" style="34" customWidth="1"/>
    <col min="2" max="2" width="7.41406" style="34" customWidth="1"/>
    <col min="3" max="15" width="10.8203" style="34" customWidth="1"/>
    <col min="16" max="16384" width="16.3516" style="34" customWidth="1"/>
  </cols>
  <sheetData>
    <row r="1" ht="33.6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43</v>
      </c>
      <c r="C3" t="s" s="5">
        <v>47</v>
      </c>
      <c r="D3" t="s" s="5">
        <v>48</v>
      </c>
      <c r="E3" t="s" s="5">
        <v>49</v>
      </c>
      <c r="F3" t="s" s="5">
        <v>10</v>
      </c>
      <c r="G3" t="s" s="5">
        <v>12</v>
      </c>
      <c r="H3" t="s" s="5">
        <v>50</v>
      </c>
      <c r="I3" t="s" s="5">
        <v>11</v>
      </c>
      <c r="J3" t="s" s="5">
        <v>51</v>
      </c>
      <c r="K3" t="s" s="5">
        <v>3</v>
      </c>
      <c r="L3" t="s" s="5">
        <v>35</v>
      </c>
      <c r="M3" t="s" s="5">
        <v>30</v>
      </c>
      <c r="N3" t="s" s="5">
        <v>35</v>
      </c>
      <c r="O3" s="35"/>
    </row>
    <row r="4" ht="20.25" customHeight="1">
      <c r="B4" s="26">
        <v>2015</v>
      </c>
      <c r="C4" s="27">
        <v>22766.6</v>
      </c>
      <c r="D4" s="29">
        <v>3766.7</v>
      </c>
      <c r="E4" s="29">
        <v>-967.6</v>
      </c>
      <c r="F4" s="29"/>
      <c r="G4" s="29"/>
      <c r="H4" s="29"/>
      <c r="I4" s="29">
        <v>-2766</v>
      </c>
      <c r="J4" s="29">
        <f>D4+F4+E4</f>
        <v>2799.1</v>
      </c>
      <c r="K4" s="29"/>
      <c r="L4" s="29"/>
      <c r="M4" s="29">
        <f>-(I4-F4)</f>
        <v>2766</v>
      </c>
      <c r="N4" s="29"/>
      <c r="O4" s="29">
        <v>1</v>
      </c>
    </row>
    <row r="5" ht="20.05" customHeight="1">
      <c r="B5" s="32"/>
      <c r="C5" s="17">
        <v>23678.7</v>
      </c>
      <c r="D5" s="18">
        <v>-485.5</v>
      </c>
      <c r="E5" s="18">
        <v>574.7</v>
      </c>
      <c r="F5" s="18"/>
      <c r="G5" s="18"/>
      <c r="H5" s="18"/>
      <c r="I5" s="18">
        <v>-1059.3</v>
      </c>
      <c r="J5" s="18">
        <f>D5+F5+E5</f>
        <v>89.2</v>
      </c>
      <c r="K5" s="18"/>
      <c r="L5" s="18"/>
      <c r="M5" s="18">
        <f>-(I5-F5)+M4</f>
        <v>3825.3</v>
      </c>
      <c r="N5" s="18"/>
      <c r="O5" s="18">
        <f>1+O4</f>
        <v>2</v>
      </c>
    </row>
    <row r="6" ht="20.05" customHeight="1">
      <c r="B6" s="32"/>
      <c r="C6" s="17">
        <v>23647.1</v>
      </c>
      <c r="D6" s="18">
        <v>-1936.8</v>
      </c>
      <c r="E6" s="18">
        <v>-145.4</v>
      </c>
      <c r="F6" s="18"/>
      <c r="G6" s="18"/>
      <c r="H6" s="18"/>
      <c r="I6" s="18">
        <v>2539.9</v>
      </c>
      <c r="J6" s="18">
        <f>D6+F6+E6</f>
        <v>-2082.2</v>
      </c>
      <c r="K6" s="18"/>
      <c r="L6" s="18"/>
      <c r="M6" s="18">
        <f>-(I6-F6)+M5</f>
        <v>1285.4</v>
      </c>
      <c r="N6" s="18"/>
      <c r="O6" s="18">
        <f>1+O5</f>
        <v>3</v>
      </c>
    </row>
    <row r="7" ht="20.05" customHeight="1">
      <c r="B7" s="32"/>
      <c r="C7" s="17">
        <v>24559.6</v>
      </c>
      <c r="D7" s="18">
        <v>-533.4</v>
      </c>
      <c r="E7" s="18">
        <v>-3996.1</v>
      </c>
      <c r="F7" s="18"/>
      <c r="G7" s="18"/>
      <c r="H7" s="18"/>
      <c r="I7" s="18">
        <v>6752.9</v>
      </c>
      <c r="J7" s="18">
        <f>D7+F7+E7</f>
        <v>-4529.5</v>
      </c>
      <c r="K7" s="18"/>
      <c r="L7" s="18"/>
      <c r="M7" s="18">
        <f>-(I7-F7)+M6</f>
        <v>-5467.5</v>
      </c>
      <c r="N7" s="18"/>
      <c r="O7" s="18">
        <f>1+O6</f>
        <v>4</v>
      </c>
    </row>
    <row r="8" ht="20.05" customHeight="1">
      <c r="B8" s="33">
        <v>2016</v>
      </c>
      <c r="C8" s="17">
        <v>24521.5</v>
      </c>
      <c r="D8" s="18">
        <v>12711</v>
      </c>
      <c r="E8" s="18">
        <v>-5033.4</v>
      </c>
      <c r="F8" s="18"/>
      <c r="G8" s="18"/>
      <c r="H8" s="18"/>
      <c r="I8" s="18">
        <v>-5</v>
      </c>
      <c r="J8" s="18">
        <f>D8+F8+E8</f>
        <v>7677.6</v>
      </c>
      <c r="K8" s="18">
        <f>AVERAGE(J5:J8)</f>
        <v>288.775</v>
      </c>
      <c r="L8" s="18"/>
      <c r="M8" s="18">
        <f>-(I8-F8)+M7</f>
        <v>-5462.5</v>
      </c>
      <c r="N8" s="18"/>
      <c r="O8" s="18">
        <f>1+O7</f>
        <v>5</v>
      </c>
    </row>
    <row r="9" ht="20.05" customHeight="1">
      <c r="B9" s="32"/>
      <c r="C9" s="17">
        <v>25913.1</v>
      </c>
      <c r="D9" s="18">
        <v>2607</v>
      </c>
      <c r="E9" s="18">
        <v>4142.4</v>
      </c>
      <c r="F9" s="18"/>
      <c r="G9" s="18"/>
      <c r="H9" s="18"/>
      <c r="I9" s="18">
        <v>-10321.5</v>
      </c>
      <c r="J9" s="18">
        <f>D9+F9+E9</f>
        <v>6749.4</v>
      </c>
      <c r="K9" s="18">
        <f>AVERAGE(J6:J9)</f>
        <v>1953.825</v>
      </c>
      <c r="L9" s="18"/>
      <c r="M9" s="18">
        <f>-(I9-F9)+M8</f>
        <v>4859</v>
      </c>
      <c r="N9" s="18"/>
      <c r="O9" s="18">
        <f>1+O8</f>
        <v>6</v>
      </c>
    </row>
    <row r="10" ht="20.05" customHeight="1">
      <c r="B10" s="32"/>
      <c r="C10" s="17">
        <v>25938.4</v>
      </c>
      <c r="D10" s="18">
        <v>3337.6</v>
      </c>
      <c r="E10" s="18">
        <v>1766.8</v>
      </c>
      <c r="F10" s="18"/>
      <c r="G10" s="18"/>
      <c r="H10" s="18"/>
      <c r="I10" s="18">
        <v>9041.1</v>
      </c>
      <c r="J10" s="18">
        <f>D10+F10+E10</f>
        <v>5104.4</v>
      </c>
      <c r="K10" s="18">
        <f>AVERAGE(J7:J10)</f>
        <v>3750.475</v>
      </c>
      <c r="L10" s="18"/>
      <c r="M10" s="18">
        <f>-(I10-F10)+M9</f>
        <v>-4182.1</v>
      </c>
      <c r="N10" s="18"/>
      <c r="O10" s="18">
        <f>1+O9</f>
        <v>7</v>
      </c>
    </row>
    <row r="11" ht="20.05" customHeight="1">
      <c r="B11" s="32"/>
      <c r="C11" s="17">
        <v>26216.7</v>
      </c>
      <c r="D11" s="18">
        <v>-4579.6</v>
      </c>
      <c r="E11" s="18">
        <v>-1238.2</v>
      </c>
      <c r="F11" s="18"/>
      <c r="G11" s="18"/>
      <c r="H11" s="18"/>
      <c r="I11" s="18">
        <v>-9091.299999999999</v>
      </c>
      <c r="J11" s="18">
        <f>D11+F11+E11</f>
        <v>-5817.8</v>
      </c>
      <c r="K11" s="18">
        <f>AVERAGE(J8:J11)</f>
        <v>3428.4</v>
      </c>
      <c r="L11" s="18"/>
      <c r="M11" s="18">
        <f>-(I11-F11)+M10</f>
        <v>4909.2</v>
      </c>
      <c r="N11" s="18"/>
      <c r="O11" s="18">
        <f>1+O10</f>
        <v>8</v>
      </c>
    </row>
    <row r="12" ht="20.05" customHeight="1">
      <c r="B12" s="33">
        <v>2017</v>
      </c>
      <c r="C12" s="17">
        <v>24911.8</v>
      </c>
      <c r="D12" s="18">
        <v>12650</v>
      </c>
      <c r="E12" s="18">
        <v>2230.5</v>
      </c>
      <c r="F12" s="18"/>
      <c r="G12" s="18"/>
      <c r="H12" s="18"/>
      <c r="I12" s="18">
        <v>15</v>
      </c>
      <c r="J12" s="18">
        <f>D12+F12+E12</f>
        <v>14880.5</v>
      </c>
      <c r="K12" s="18">
        <f>AVERAGE(J9:J12)</f>
        <v>5229.125</v>
      </c>
      <c r="L12" s="18"/>
      <c r="M12" s="18">
        <f>-(I12-F12)+M11</f>
        <v>4894.2</v>
      </c>
      <c r="N12" s="18"/>
      <c r="O12" s="18">
        <f>1+O11</f>
        <v>9</v>
      </c>
    </row>
    <row r="13" ht="20.05" customHeight="1">
      <c r="B13" s="32"/>
      <c r="C13" s="17">
        <v>23983.4</v>
      </c>
      <c r="D13" s="18">
        <v>2050.5</v>
      </c>
      <c r="E13" s="18">
        <v>346.1</v>
      </c>
      <c r="F13" s="18"/>
      <c r="G13" s="18"/>
      <c r="H13" s="18"/>
      <c r="I13" s="18">
        <v>-12526.3</v>
      </c>
      <c r="J13" s="18">
        <f>D13+F13+E13</f>
        <v>2396.6</v>
      </c>
      <c r="K13" s="18">
        <f>AVERAGE(J10:J13)</f>
        <v>4140.925</v>
      </c>
      <c r="L13" s="18"/>
      <c r="M13" s="18">
        <f>-(I13-F13)+M12</f>
        <v>17420.5</v>
      </c>
      <c r="N13" s="18"/>
      <c r="O13" s="18">
        <f>1+O12</f>
        <v>10</v>
      </c>
    </row>
    <row r="14" ht="20.05" customHeight="1">
      <c r="B14" s="32"/>
      <c r="C14" s="17">
        <v>30326.7</v>
      </c>
      <c r="D14" s="18">
        <v>7752.8</v>
      </c>
      <c r="E14" s="18">
        <v>-188.6</v>
      </c>
      <c r="F14" s="18"/>
      <c r="G14" s="18"/>
      <c r="H14" s="18"/>
      <c r="I14" s="18">
        <v>-26.7</v>
      </c>
      <c r="J14" s="18">
        <f>D14+F14+E14</f>
        <v>7564.2</v>
      </c>
      <c r="K14" s="18">
        <f>AVERAGE(J11:J14)</f>
        <v>4755.875</v>
      </c>
      <c r="L14" s="18"/>
      <c r="M14" s="18">
        <f>-(I14-F14)+M13</f>
        <v>17447.2</v>
      </c>
      <c r="N14" s="18"/>
      <c r="O14" s="18">
        <f>1+O13</f>
        <v>11</v>
      </c>
    </row>
    <row r="15" ht="20.05" customHeight="1">
      <c r="B15" s="32"/>
      <c r="C15" s="17">
        <v>28812</v>
      </c>
      <c r="D15" s="18">
        <v>-7077</v>
      </c>
      <c r="E15" s="18">
        <v>-2769</v>
      </c>
      <c r="F15" s="18"/>
      <c r="G15" s="18"/>
      <c r="H15" s="18"/>
      <c r="I15" s="18">
        <v>-11.7</v>
      </c>
      <c r="J15" s="18">
        <f>D15+F15+E15</f>
        <v>-9846</v>
      </c>
      <c r="K15" s="18">
        <f>AVERAGE(J12:J15)</f>
        <v>3748.825</v>
      </c>
      <c r="L15" s="18"/>
      <c r="M15" s="18">
        <f>-(I15-F15)+M14</f>
        <v>17458.9</v>
      </c>
      <c r="N15" s="18"/>
      <c r="O15" s="18">
        <f>1+O14</f>
        <v>12</v>
      </c>
    </row>
    <row r="16" ht="20.05" customHeight="1">
      <c r="B16" s="33">
        <v>2018</v>
      </c>
      <c r="C16" s="17">
        <v>26563</v>
      </c>
      <c r="D16" s="18">
        <v>13172</v>
      </c>
      <c r="E16" s="18">
        <v>859.6</v>
      </c>
      <c r="F16" s="18"/>
      <c r="G16" s="18"/>
      <c r="H16" s="18"/>
      <c r="I16" s="18">
        <v>-7</v>
      </c>
      <c r="J16" s="18">
        <f>D16+F16+E16</f>
        <v>14031.6</v>
      </c>
      <c r="K16" s="18">
        <f>AVERAGE(J13:J16)</f>
        <v>3536.6</v>
      </c>
      <c r="L16" s="18"/>
      <c r="M16" s="18">
        <f>-(I16-F16)+M15</f>
        <v>17465.9</v>
      </c>
      <c r="N16" s="18"/>
      <c r="O16" s="18">
        <f>1+O15</f>
        <v>13</v>
      </c>
    </row>
    <row r="17" ht="20.05" customHeight="1">
      <c r="B17" s="32"/>
      <c r="C17" s="17">
        <v>28376.9</v>
      </c>
      <c r="D17" s="18">
        <v>5017.6</v>
      </c>
      <c r="E17" s="18">
        <v>1125.4</v>
      </c>
      <c r="F17" s="18"/>
      <c r="G17" s="18"/>
      <c r="H17" s="18"/>
      <c r="I17" s="18">
        <v>-12392.2</v>
      </c>
      <c r="J17" s="18">
        <f>D17+F17+E17</f>
        <v>6143</v>
      </c>
      <c r="K17" s="18">
        <f>AVERAGE(J14:J17)</f>
        <v>4473.2</v>
      </c>
      <c r="L17" s="18"/>
      <c r="M17" s="18">
        <f>-(I17-F17)+M16</f>
        <v>29858.1</v>
      </c>
      <c r="N17" s="18"/>
      <c r="O17" s="18">
        <f>1+O16</f>
        <v>14</v>
      </c>
    </row>
    <row r="18" ht="20.05" customHeight="1">
      <c r="B18" s="32"/>
      <c r="C18" s="17">
        <v>30914.4</v>
      </c>
      <c r="D18" s="18">
        <v>6359.9</v>
      </c>
      <c r="E18" s="18">
        <v>-190.2</v>
      </c>
      <c r="F18" s="18"/>
      <c r="G18" s="18"/>
      <c r="H18" s="18"/>
      <c r="I18" s="18">
        <v>-75.8</v>
      </c>
      <c r="J18" s="18">
        <f>D18+F18+E18</f>
        <v>6169.7</v>
      </c>
      <c r="K18" s="18">
        <f>AVERAGE(J15:J18)</f>
        <v>4124.575</v>
      </c>
      <c r="L18" s="18"/>
      <c r="M18" s="18">
        <f>-(I18-F18)+M17</f>
        <v>29933.9</v>
      </c>
      <c r="N18" s="18"/>
      <c r="O18" s="18">
        <f>1+O17</f>
        <v>15</v>
      </c>
    </row>
    <row r="19" ht="20.05" customHeight="1">
      <c r="B19" s="32"/>
      <c r="C19" s="17">
        <v>30884.7</v>
      </c>
      <c r="D19" s="18">
        <v>-4356.1</v>
      </c>
      <c r="E19" s="18">
        <v>-1461.3</v>
      </c>
      <c r="F19" s="18"/>
      <c r="G19" s="18"/>
      <c r="H19" s="18"/>
      <c r="I19" s="18">
        <v>-37.3</v>
      </c>
      <c r="J19" s="18">
        <f>D19+F19+E19</f>
        <v>-5817.4</v>
      </c>
      <c r="K19" s="18">
        <f>AVERAGE(J16:J19)</f>
        <v>5131.725</v>
      </c>
      <c r="L19" s="18"/>
      <c r="M19" s="18">
        <f>-(I19-F19)+M18</f>
        <v>29971.2</v>
      </c>
      <c r="N19" s="18"/>
      <c r="O19" s="18">
        <f>1+O18</f>
        <v>16</v>
      </c>
    </row>
    <row r="20" ht="20.05" customHeight="1">
      <c r="B20" s="33">
        <v>2019</v>
      </c>
      <c r="C20" s="17">
        <v>27201.8</v>
      </c>
      <c r="D20" s="18">
        <v>6911</v>
      </c>
      <c r="E20" s="18">
        <v>-78.7</v>
      </c>
      <c r="F20" s="18"/>
      <c r="G20" s="18"/>
      <c r="H20" s="18"/>
      <c r="I20" s="18">
        <v>-40.7</v>
      </c>
      <c r="J20" s="18">
        <f>D20+F20+E20</f>
        <v>6832.3</v>
      </c>
      <c r="K20" s="18">
        <f>AVERAGE(J17:J20)</f>
        <v>3331.9</v>
      </c>
      <c r="L20" s="18"/>
      <c r="M20" s="18">
        <f>-(I20-F20)+M19</f>
        <v>30011.9</v>
      </c>
      <c r="N20" s="18"/>
      <c r="O20" s="18">
        <f>1+O19</f>
        <v>17</v>
      </c>
    </row>
    <row r="21" ht="20.05" customHeight="1">
      <c r="B21" s="32"/>
      <c r="C21" s="17">
        <v>29107.2</v>
      </c>
      <c r="D21" s="18">
        <v>4335.5</v>
      </c>
      <c r="E21" s="18">
        <v>740.7</v>
      </c>
      <c r="F21" s="18"/>
      <c r="G21" s="18"/>
      <c r="H21" s="18"/>
      <c r="I21" s="18">
        <v>-13626.6</v>
      </c>
      <c r="J21" s="18">
        <f>D21+F21+E21</f>
        <v>5076.2</v>
      </c>
      <c r="K21" s="18">
        <f>AVERAGE(J18:J21)</f>
        <v>3065.2</v>
      </c>
      <c r="L21" s="18"/>
      <c r="M21" s="18">
        <f>-(I21-F21)+M20</f>
        <v>43638.5</v>
      </c>
      <c r="N21" s="18"/>
      <c r="O21" s="18">
        <f>1+O20</f>
        <v>18</v>
      </c>
    </row>
    <row r="22" ht="20.05" customHeight="1">
      <c r="B22" s="32"/>
      <c r="C22" s="17">
        <v>29852</v>
      </c>
      <c r="D22" s="18">
        <v>5943.5</v>
      </c>
      <c r="E22" s="18">
        <v>-147.4</v>
      </c>
      <c r="F22" s="18"/>
      <c r="G22" s="18"/>
      <c r="H22" s="18"/>
      <c r="I22" s="18">
        <v>-39.6</v>
      </c>
      <c r="J22" s="18">
        <f>D22+F22+E22</f>
        <v>5796.1</v>
      </c>
      <c r="K22" s="18">
        <f>AVERAGE(J19:J22)</f>
        <v>2971.8</v>
      </c>
      <c r="L22" s="18"/>
      <c r="M22" s="18">
        <f>-(I22-F22)+M21</f>
        <v>43678.1</v>
      </c>
      <c r="N22" s="18"/>
      <c r="O22" s="18">
        <f>1+O21</f>
        <v>19</v>
      </c>
    </row>
    <row r="23" ht="20.05" customHeight="1">
      <c r="B23" s="32"/>
      <c r="C23" s="17">
        <v>30133</v>
      </c>
      <c r="D23" s="18">
        <v>-44</v>
      </c>
      <c r="E23" s="18">
        <v>-571.6</v>
      </c>
      <c r="F23" s="18"/>
      <c r="G23" s="18"/>
      <c r="H23" s="18"/>
      <c r="I23" s="18">
        <v>-78.09999999999999</v>
      </c>
      <c r="J23" s="18">
        <f>D23+F23+E23</f>
        <v>-615.6</v>
      </c>
      <c r="K23" s="18">
        <f>AVERAGE(J20:J23)</f>
        <v>4272.25</v>
      </c>
      <c r="L23" s="18"/>
      <c r="M23" s="18">
        <f>-(I23-F23)+M22</f>
        <v>43756.2</v>
      </c>
      <c r="N23" s="18"/>
      <c r="O23" s="18">
        <f>1+O22</f>
        <v>20</v>
      </c>
    </row>
    <row r="24" ht="20.05" customHeight="1">
      <c r="B24" s="33">
        <v>2020</v>
      </c>
      <c r="C24" s="17">
        <v>27296.6</v>
      </c>
      <c r="D24" s="18">
        <v>4922</v>
      </c>
      <c r="E24" s="18">
        <v>-10722.5</v>
      </c>
      <c r="F24" s="18"/>
      <c r="G24" s="18"/>
      <c r="H24" s="18"/>
      <c r="I24" s="18">
        <v>-49.7</v>
      </c>
      <c r="J24" s="18">
        <f>D24+F24+E24</f>
        <v>-5800.5</v>
      </c>
      <c r="K24" s="18">
        <f>AVERAGE(J21:J24)</f>
        <v>1114.05</v>
      </c>
      <c r="L24" s="18"/>
      <c r="M24" s="18">
        <f>-(I24-F24)+M23</f>
        <v>43805.9</v>
      </c>
      <c r="N24" s="18"/>
      <c r="O24" s="18">
        <f>1+O23</f>
        <v>21</v>
      </c>
    </row>
    <row r="25" ht="20.05" customHeight="1">
      <c r="B25" s="32"/>
      <c r="C25" s="17">
        <v>22072.4</v>
      </c>
      <c r="D25" s="18">
        <v>-4756</v>
      </c>
      <c r="E25" s="18">
        <v>10646.5</v>
      </c>
      <c r="F25" s="18"/>
      <c r="G25" s="18"/>
      <c r="H25" s="18"/>
      <c r="I25" s="18">
        <v>-13751.3</v>
      </c>
      <c r="J25" s="18">
        <f>D25+F25+E25</f>
        <v>5890.5</v>
      </c>
      <c r="K25" s="18">
        <f>AVERAGE(J22:J25)</f>
        <v>1317.625</v>
      </c>
      <c r="L25" s="18"/>
      <c r="M25" s="18">
        <f>-(I25-F25)+M24</f>
        <v>57557.2</v>
      </c>
      <c r="N25" s="18"/>
      <c r="O25" s="18">
        <f>1+O24</f>
        <v>22</v>
      </c>
    </row>
    <row r="26" ht="20.05" customHeight="1">
      <c r="B26" s="32"/>
      <c r="C26" s="17">
        <v>26263</v>
      </c>
      <c r="D26" s="18">
        <v>8835</v>
      </c>
      <c r="E26" s="18">
        <v>-5</v>
      </c>
      <c r="F26" s="18"/>
      <c r="G26" s="18"/>
      <c r="H26" s="18"/>
      <c r="I26" s="18">
        <v>212</v>
      </c>
      <c r="J26" s="18">
        <f>D26+F26+E26</f>
        <v>8830</v>
      </c>
      <c r="K26" s="18">
        <f>AVERAGE(J23:J26)</f>
        <v>2076.1</v>
      </c>
      <c r="L26" s="18"/>
      <c r="M26" s="18">
        <f>-(I26-F26)+M25</f>
        <v>57345.2</v>
      </c>
      <c r="N26" s="18"/>
      <c r="O26" s="18">
        <f>1+O25</f>
        <v>23</v>
      </c>
    </row>
    <row r="27" ht="20.05" customHeight="1">
      <c r="B27" s="32"/>
      <c r="C27" s="17">
        <v>26630</v>
      </c>
      <c r="D27" s="18">
        <v>2952</v>
      </c>
      <c r="E27" s="18">
        <v>-783</v>
      </c>
      <c r="F27" s="18"/>
      <c r="G27" s="18"/>
      <c r="H27" s="18"/>
      <c r="I27" s="18">
        <v>-517</v>
      </c>
      <c r="J27" s="18">
        <f>D27+F27+E27</f>
        <v>2169</v>
      </c>
      <c r="K27" s="18">
        <f>AVERAGE(J24:J27)</f>
        <v>2772.25</v>
      </c>
      <c r="L27" s="18"/>
      <c r="M27" s="18">
        <f>-(I27-F27)+M26</f>
        <v>57862.2</v>
      </c>
      <c r="N27" s="18"/>
      <c r="O27" s="18">
        <f>1+O26</f>
        <v>24</v>
      </c>
    </row>
    <row r="28" ht="20.05" customHeight="1">
      <c r="B28" s="33">
        <v>2021</v>
      </c>
      <c r="C28" s="17">
        <v>27651</v>
      </c>
      <c r="D28" s="18">
        <v>-1485</v>
      </c>
      <c r="E28" s="18">
        <v>-228</v>
      </c>
      <c r="F28" s="18">
        <v>-52.25</v>
      </c>
      <c r="G28" s="18"/>
      <c r="H28" s="18"/>
      <c r="I28" s="18">
        <v>-70</v>
      </c>
      <c r="J28" s="18">
        <f>D28+F28+E28</f>
        <v>-1765.25</v>
      </c>
      <c r="K28" s="18">
        <f>AVERAGE(J25:J28)</f>
        <v>3781.0625</v>
      </c>
      <c r="L28" s="18"/>
      <c r="M28" s="18">
        <f>-(G28+H28)+M27</f>
        <v>57862.2</v>
      </c>
      <c r="N28" s="18"/>
      <c r="O28" s="18">
        <f>1+O27</f>
        <v>25</v>
      </c>
    </row>
    <row r="29" ht="20.05" customHeight="1">
      <c r="B29" s="32"/>
      <c r="C29" s="17">
        <f>53529.8-C28</f>
        <v>25878.8</v>
      </c>
      <c r="D29" s="18">
        <f>6197.1-D28</f>
        <v>7682.1</v>
      </c>
      <c r="E29" s="18">
        <f>394.8-E28</f>
        <v>622.8</v>
      </c>
      <c r="F29" s="18">
        <v>-52.25</v>
      </c>
      <c r="G29" s="18"/>
      <c r="H29" s="18">
        <v>-8468</v>
      </c>
      <c r="I29" s="18">
        <f>-6723-I28</f>
        <v>-6653</v>
      </c>
      <c r="J29" s="18">
        <f>D29+F29+E29</f>
        <v>8252.65</v>
      </c>
      <c r="K29" s="18">
        <f>AVERAGE(J26:J29)</f>
        <v>4371.6</v>
      </c>
      <c r="L29" s="18"/>
      <c r="M29" s="18">
        <f>-(G29+H29)+M28</f>
        <v>66330.2</v>
      </c>
      <c r="N29" s="18"/>
      <c r="O29" s="18">
        <f>1+O28</f>
        <v>26</v>
      </c>
    </row>
    <row r="30" ht="20.05" customHeight="1">
      <c r="B30" s="32"/>
      <c r="C30" s="17">
        <f>81707.2-SUM(C28:C29)</f>
        <v>28177.4</v>
      </c>
      <c r="D30" s="18">
        <f>12632.4-SUM(D28:D29)</f>
        <v>6435.3</v>
      </c>
      <c r="E30" s="18">
        <f>391.2-SUM(E28:E29)</f>
        <v>-3.6</v>
      </c>
      <c r="F30" s="18">
        <v>-52.25</v>
      </c>
      <c r="G30" s="18"/>
      <c r="H30" s="18">
        <v>0</v>
      </c>
      <c r="I30" s="18">
        <f>-8272.3-SUM(I28:I29)</f>
        <v>-1549.3</v>
      </c>
      <c r="J30" s="18">
        <f>D30+F30+E30</f>
        <v>6379.45</v>
      </c>
      <c r="K30" s="18">
        <f>AVERAGE(J27:J30)</f>
        <v>3758.9625</v>
      </c>
      <c r="L30" s="18"/>
      <c r="M30" s="18">
        <f>-(G30+H30)+M29</f>
        <v>66330.2</v>
      </c>
      <c r="N30" s="18"/>
      <c r="O30" s="18">
        <f>1+O29</f>
        <v>27</v>
      </c>
    </row>
    <row r="31" ht="20.05" customHeight="1">
      <c r="B31" s="32"/>
      <c r="C31" s="17">
        <f>110818-C30-C29-C28</f>
        <v>29110.8</v>
      </c>
      <c r="D31" s="18">
        <f>10302-D30-D29-D28</f>
        <v>-2330.4</v>
      </c>
      <c r="E31" s="18">
        <f>334-E30-E29-E28</f>
        <v>-57.2</v>
      </c>
      <c r="F31" s="18">
        <v>-52.25</v>
      </c>
      <c r="G31" s="18">
        <v>79</v>
      </c>
      <c r="H31" s="18">
        <f>-8468-H30-H29-H28</f>
        <v>0</v>
      </c>
      <c r="I31" s="18">
        <f>-8598-I30-I29-I28</f>
        <v>-325.7</v>
      </c>
      <c r="J31" s="18">
        <f>D31+F31+E31</f>
        <v>-2439.85</v>
      </c>
      <c r="K31" s="18">
        <f>AVERAGE(J28:J31)</f>
        <v>2606.75</v>
      </c>
      <c r="L31" s="23"/>
      <c r="M31" s="18">
        <f>-(G31+H31)+M30</f>
        <v>66251.2</v>
      </c>
      <c r="N31" s="23"/>
      <c r="O31" s="18">
        <f>1+O30</f>
        <v>28</v>
      </c>
    </row>
    <row r="32" ht="20.05" customHeight="1">
      <c r="B32" s="33">
        <v>2022</v>
      </c>
      <c r="C32" s="17">
        <v>28804</v>
      </c>
      <c r="D32" s="18">
        <v>-351</v>
      </c>
      <c r="E32" s="18">
        <v>-143.5</v>
      </c>
      <c r="F32" s="18">
        <v>-81</v>
      </c>
      <c r="G32" s="18">
        <v>-51</v>
      </c>
      <c r="H32" s="18">
        <v>0</v>
      </c>
      <c r="I32" s="18">
        <v>-131.9</v>
      </c>
      <c r="J32" s="18">
        <f>D32+F32+E32</f>
        <v>-575.5</v>
      </c>
      <c r="K32" s="18">
        <f>AVERAGE(J29:J32)</f>
        <v>2904.1875</v>
      </c>
      <c r="L32" s="18">
        <f>K32</f>
        <v>2904.1875</v>
      </c>
      <c r="M32" s="18">
        <f>-(G32+H32)+M31</f>
        <v>66302.2</v>
      </c>
      <c r="N32" s="18">
        <f>M32</f>
        <v>66302.2</v>
      </c>
      <c r="O32" s="18">
        <f>1+O31</f>
        <v>29</v>
      </c>
    </row>
    <row r="33" ht="20.05" customHeight="1">
      <c r="B33" s="32"/>
      <c r="C33" s="17"/>
      <c r="D33" s="18"/>
      <c r="E33" s="18"/>
      <c r="F33" s="18"/>
      <c r="G33" s="18"/>
      <c r="H33" s="18"/>
      <c r="I33" s="18"/>
      <c r="J33" s="18"/>
      <c r="K33" s="18"/>
      <c r="L33" s="18">
        <f>SUM('Model'!F9:F11)</f>
        <v>2408.912362197</v>
      </c>
      <c r="M33" s="18"/>
      <c r="N33" s="18">
        <f>'Model'!F34</f>
        <v>76203.725018699406</v>
      </c>
      <c r="O33" s="18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3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7.92188" style="36" customWidth="1"/>
    <col min="2" max="2" width="10.2812" style="36" customWidth="1"/>
    <col min="3" max="4" width="12.0547" style="36" customWidth="1"/>
    <col min="5" max="10" width="10.2812" style="36" customWidth="1"/>
    <col min="11" max="16384" width="16.3516" style="36" customWidth="1"/>
  </cols>
  <sheetData>
    <row r="1" ht="27.65" customHeight="1">
      <c r="A1" t="s" s="2">
        <v>23</v>
      </c>
      <c r="B1" s="2"/>
      <c r="C1" s="2"/>
      <c r="D1" s="2"/>
      <c r="E1" s="2"/>
      <c r="F1" s="2"/>
      <c r="G1" s="2"/>
      <c r="H1" s="2"/>
      <c r="I1" s="2"/>
      <c r="J1" s="2"/>
    </row>
    <row r="2" ht="32.25" customHeight="1">
      <c r="A2" t="s" s="5">
        <v>1</v>
      </c>
      <c r="B2" t="s" s="5">
        <v>52</v>
      </c>
      <c r="C2" t="s" s="5">
        <v>53</v>
      </c>
      <c r="D2" t="s" s="5">
        <v>24</v>
      </c>
      <c r="E2" t="s" s="5">
        <v>25</v>
      </c>
      <c r="F2" t="s" s="5">
        <v>12</v>
      </c>
      <c r="G2" t="s" s="5">
        <v>50</v>
      </c>
      <c r="H2" t="s" s="5">
        <v>54</v>
      </c>
      <c r="I2" t="s" s="5">
        <v>55</v>
      </c>
      <c r="J2" t="s" s="5">
        <v>35</v>
      </c>
    </row>
    <row r="3" ht="20.25" customHeight="1">
      <c r="A3" s="26">
        <v>2015</v>
      </c>
      <c r="B3" s="27">
        <v>121</v>
      </c>
      <c r="C3" s="29">
        <v>29516</v>
      </c>
      <c r="D3" s="29">
        <f>C3-B3</f>
        <v>29395</v>
      </c>
      <c r="E3" s="29"/>
      <c r="F3" s="29">
        <v>13104</v>
      </c>
      <c r="G3" s="29">
        <v>16412</v>
      </c>
      <c r="H3" s="29">
        <f>F3+G3-B3-D3</f>
        <v>0</v>
      </c>
      <c r="I3" s="29">
        <f>B3-F3</f>
        <v>-12983</v>
      </c>
      <c r="J3" s="29"/>
    </row>
    <row r="4" ht="20.05" customHeight="1">
      <c r="A4" s="32"/>
      <c r="B4" s="17">
        <v>111</v>
      </c>
      <c r="C4" s="18">
        <v>28494</v>
      </c>
      <c r="D4" s="18">
        <f>C4-B4</f>
        <v>28383</v>
      </c>
      <c r="E4" s="18"/>
      <c r="F4" s="18">
        <v>14420</v>
      </c>
      <c r="G4" s="18">
        <v>14074</v>
      </c>
      <c r="H4" s="18">
        <f>F4+G4-B4-D4</f>
        <v>0</v>
      </c>
      <c r="I4" s="18">
        <f>B4-F4</f>
        <v>-14309</v>
      </c>
      <c r="J4" s="18"/>
    </row>
    <row r="5" ht="20.05" customHeight="1">
      <c r="A5" s="32"/>
      <c r="B5" s="17">
        <v>170</v>
      </c>
      <c r="C5" s="18">
        <v>31570</v>
      </c>
      <c r="D5" s="18">
        <f>C5-B5</f>
        <v>31400</v>
      </c>
      <c r="E5" s="18"/>
      <c r="F5" s="18">
        <v>22873</v>
      </c>
      <c r="G5" s="18">
        <v>8697</v>
      </c>
      <c r="H5" s="18">
        <f>F5+G5-B5-D5</f>
        <v>0</v>
      </c>
      <c r="I5" s="18">
        <f>B5-F5</f>
        <v>-22703</v>
      </c>
      <c r="J5" s="18"/>
    </row>
    <row r="6" ht="20.05" customHeight="1">
      <c r="A6" s="32"/>
      <c r="B6" s="17">
        <v>1719</v>
      </c>
      <c r="C6" s="18">
        <v>38011</v>
      </c>
      <c r="D6" s="18">
        <f>C6-B6</f>
        <v>36292</v>
      </c>
      <c r="E6" s="18"/>
      <c r="F6" s="18">
        <v>5995</v>
      </c>
      <c r="G6" s="18">
        <v>32016</v>
      </c>
      <c r="H6" s="18">
        <f>F6+G6-B6-D6</f>
        <v>0</v>
      </c>
      <c r="I6" s="18">
        <f>B6-F6</f>
        <v>-4276</v>
      </c>
      <c r="J6" s="18"/>
    </row>
    <row r="7" ht="20.05" customHeight="1">
      <c r="A7" s="33">
        <v>2016</v>
      </c>
      <c r="B7" s="17">
        <v>9391</v>
      </c>
      <c r="C7" s="18">
        <v>47723</v>
      </c>
      <c r="D7" s="18">
        <f>C7-B7</f>
        <v>38332</v>
      </c>
      <c r="E7" s="18"/>
      <c r="F7" s="18">
        <v>12569</v>
      </c>
      <c r="G7" s="18">
        <v>35154</v>
      </c>
      <c r="H7" s="18">
        <f>F7+G7-B7-D7</f>
        <v>0</v>
      </c>
      <c r="I7" s="18">
        <f>B7-F7</f>
        <v>-3178</v>
      </c>
      <c r="J7" s="18"/>
    </row>
    <row r="8" ht="20.05" customHeight="1">
      <c r="A8" s="32"/>
      <c r="B8" s="17">
        <v>5819</v>
      </c>
      <c r="C8" s="18">
        <v>39325</v>
      </c>
      <c r="D8" s="18">
        <f>C8-B8</f>
        <v>33506</v>
      </c>
      <c r="E8" s="18"/>
      <c r="F8" s="18">
        <v>11564</v>
      </c>
      <c r="G8" s="18">
        <v>27761</v>
      </c>
      <c r="H8" s="18">
        <f>F8+G8-B8-D8</f>
        <v>0</v>
      </c>
      <c r="I8" s="18">
        <f>B8-F8</f>
        <v>-5745</v>
      </c>
      <c r="J8" s="18"/>
    </row>
    <row r="9" ht="20.05" customHeight="1">
      <c r="A9" s="32"/>
      <c r="B9" s="17">
        <v>10887</v>
      </c>
      <c r="C9" s="18">
        <v>42385</v>
      </c>
      <c r="D9" s="18">
        <f>C9-B9</f>
        <v>31498</v>
      </c>
      <c r="E9" s="18"/>
      <c r="F9" s="18">
        <v>11675</v>
      </c>
      <c r="G9" s="18">
        <v>30710</v>
      </c>
      <c r="H9" s="18">
        <f>F9+G9-B9-D9</f>
        <v>0</v>
      </c>
      <c r="I9" s="18">
        <f>B9-F9</f>
        <v>-788</v>
      </c>
      <c r="J9" s="18"/>
    </row>
    <row r="10" ht="20.05" customHeight="1">
      <c r="A10" s="32"/>
      <c r="B10" s="17">
        <v>5056</v>
      </c>
      <c r="C10" s="18">
        <v>42508</v>
      </c>
      <c r="D10" s="18">
        <f>C10-B10</f>
        <v>37452</v>
      </c>
      <c r="E10" s="18"/>
      <c r="F10" s="18">
        <v>8333</v>
      </c>
      <c r="G10" s="18">
        <v>34175</v>
      </c>
      <c r="H10" s="18">
        <f>F10+G10-B10-D10</f>
        <v>0</v>
      </c>
      <c r="I10" s="18">
        <f>B10-F10</f>
        <v>-3277</v>
      </c>
      <c r="J10" s="18"/>
    </row>
    <row r="11" ht="20.05" customHeight="1">
      <c r="A11" s="33">
        <v>2017</v>
      </c>
      <c r="B11" s="17">
        <v>19952</v>
      </c>
      <c r="C11" s="18">
        <v>51792</v>
      </c>
      <c r="D11" s="18">
        <f>C11-B11</f>
        <v>31840</v>
      </c>
      <c r="E11" s="18"/>
      <c r="F11" s="18">
        <v>14310</v>
      </c>
      <c r="G11" s="18">
        <v>37482</v>
      </c>
      <c r="H11" s="18">
        <f>F11+G11-B11-D11</f>
        <v>0</v>
      </c>
      <c r="I11" s="18">
        <f>B11-F11</f>
        <v>5642</v>
      </c>
      <c r="J11" s="18"/>
    </row>
    <row r="12" ht="20.05" customHeight="1">
      <c r="A12" s="32"/>
      <c r="B12" s="17">
        <v>9822</v>
      </c>
      <c r="C12" s="18">
        <v>41281</v>
      </c>
      <c r="D12" s="18">
        <f>C12-B12</f>
        <v>31459</v>
      </c>
      <c r="E12" s="18"/>
      <c r="F12" s="18">
        <v>13631</v>
      </c>
      <c r="G12" s="18">
        <v>27650</v>
      </c>
      <c r="H12" s="18">
        <f>F12+G12-B12-D12</f>
        <v>0</v>
      </c>
      <c r="I12" s="18">
        <f>B12-F12</f>
        <v>-3809</v>
      </c>
      <c r="J12" s="18"/>
    </row>
    <row r="13" ht="20.05" customHeight="1">
      <c r="A13" s="32"/>
      <c r="B13" s="17">
        <v>17430</v>
      </c>
      <c r="C13" s="18">
        <v>46541</v>
      </c>
      <c r="D13" s="18">
        <f>C13-B13</f>
        <v>29111</v>
      </c>
      <c r="E13" s="18"/>
      <c r="F13" s="18">
        <v>15589</v>
      </c>
      <c r="G13" s="18">
        <v>30952</v>
      </c>
      <c r="H13" s="18">
        <f>F13+G13-B13-D13</f>
        <v>0</v>
      </c>
      <c r="I13" s="18">
        <f>B13-F13</f>
        <v>1841</v>
      </c>
      <c r="J13" s="18"/>
    </row>
    <row r="14" ht="20.05" customHeight="1">
      <c r="A14" s="32"/>
      <c r="B14" s="17">
        <v>7502</v>
      </c>
      <c r="C14" s="18">
        <v>43141</v>
      </c>
      <c r="D14" s="18">
        <f>C14-B14</f>
        <v>35639</v>
      </c>
      <c r="E14" s="18"/>
      <c r="F14" s="18">
        <v>9028</v>
      </c>
      <c r="G14" s="18">
        <v>34113</v>
      </c>
      <c r="H14" s="18">
        <f>F14+G14-B14-D14</f>
        <v>0</v>
      </c>
      <c r="I14" s="18">
        <f>B14-F14</f>
        <v>-1526</v>
      </c>
      <c r="J14" s="18"/>
    </row>
    <row r="15" ht="20.05" customHeight="1">
      <c r="A15" s="33">
        <v>2018</v>
      </c>
      <c r="B15" s="17">
        <v>21527</v>
      </c>
      <c r="C15" s="18">
        <v>52297</v>
      </c>
      <c r="D15" s="18">
        <f>C15-B15</f>
        <v>30770</v>
      </c>
      <c r="E15" s="18"/>
      <c r="F15" s="18">
        <v>15136</v>
      </c>
      <c r="G15" s="18">
        <v>37161</v>
      </c>
      <c r="H15" s="18">
        <f>F15+G15-B15-D15</f>
        <v>0</v>
      </c>
      <c r="I15" s="18">
        <f>B15-F15</f>
        <v>6391</v>
      </c>
      <c r="J15" s="18"/>
    </row>
    <row r="16" ht="20.05" customHeight="1">
      <c r="A16" s="32"/>
      <c r="B16" s="17">
        <v>15277</v>
      </c>
      <c r="C16" s="18">
        <v>43879</v>
      </c>
      <c r="D16" s="18">
        <f>C16-B16</f>
        <v>28602</v>
      </c>
      <c r="E16" s="18"/>
      <c r="F16" s="18">
        <v>16160</v>
      </c>
      <c r="G16" s="18">
        <v>27719</v>
      </c>
      <c r="H16" s="18">
        <f>F16+G16-B16-D16</f>
        <v>0</v>
      </c>
      <c r="I16" s="18">
        <f>B16-F16</f>
        <v>-883</v>
      </c>
      <c r="J16" s="18"/>
    </row>
    <row r="17" ht="20.05" customHeight="1">
      <c r="A17" s="32"/>
      <c r="B17" s="17">
        <v>21371</v>
      </c>
      <c r="C17" s="18">
        <v>49114</v>
      </c>
      <c r="D17" s="18">
        <f>C17-B17</f>
        <v>27743</v>
      </c>
      <c r="E17" s="18"/>
      <c r="F17" s="18">
        <v>17706</v>
      </c>
      <c r="G17" s="18">
        <v>31408</v>
      </c>
      <c r="H17" s="18">
        <f>F17+G17-B17-D17</f>
        <v>0</v>
      </c>
      <c r="I17" s="18">
        <f>B17-F17</f>
        <v>3665</v>
      </c>
      <c r="J17" s="18"/>
    </row>
    <row r="18" ht="20.05" customHeight="1">
      <c r="A18" s="32"/>
      <c r="B18" s="17">
        <v>15516</v>
      </c>
      <c r="C18" s="18">
        <v>46602</v>
      </c>
      <c r="D18" s="18">
        <f>C18-B18</f>
        <v>31086</v>
      </c>
      <c r="E18" s="18"/>
      <c r="F18" s="18">
        <v>11244</v>
      </c>
      <c r="G18" s="18">
        <v>35358</v>
      </c>
      <c r="H18" s="18">
        <f>F18+G18-B18-D18</f>
        <v>0</v>
      </c>
      <c r="I18" s="18">
        <f>B18-F18</f>
        <v>4272</v>
      </c>
      <c r="J18" s="18"/>
    </row>
    <row r="19" ht="20.05" customHeight="1">
      <c r="A19" s="33">
        <v>2019</v>
      </c>
      <c r="B19" s="17">
        <v>22308</v>
      </c>
      <c r="C19" s="18">
        <v>56587</v>
      </c>
      <c r="D19" s="18">
        <f>C19-B19</f>
        <v>34279</v>
      </c>
      <c r="E19" s="18"/>
      <c r="F19" s="18">
        <v>17927</v>
      </c>
      <c r="G19" s="18">
        <v>38660</v>
      </c>
      <c r="H19" s="18">
        <f>F19+G19-B19-D19</f>
        <v>0</v>
      </c>
      <c r="I19" s="18">
        <f>B19-F19</f>
        <v>4381</v>
      </c>
      <c r="J19" s="18"/>
    </row>
    <row r="20" ht="20.05" customHeight="1">
      <c r="A20" s="32"/>
      <c r="B20" s="17">
        <v>13758</v>
      </c>
      <c r="C20" s="18">
        <v>43113</v>
      </c>
      <c r="D20" s="18">
        <f>C20-B20</f>
        <v>29355</v>
      </c>
      <c r="E20" s="18"/>
      <c r="F20" s="18">
        <v>14628</v>
      </c>
      <c r="G20" s="18">
        <v>28485</v>
      </c>
      <c r="H20" s="18">
        <f>F20+G20-B20-D20</f>
        <v>0</v>
      </c>
      <c r="I20" s="18">
        <f>B20-F20</f>
        <v>-870</v>
      </c>
      <c r="J20" s="18"/>
    </row>
    <row r="21" ht="20.05" customHeight="1">
      <c r="A21" s="32"/>
      <c r="B21" s="17">
        <v>19514</v>
      </c>
      <c r="C21" s="18">
        <v>48949</v>
      </c>
      <c r="D21" s="18">
        <f>C21-B21</f>
        <v>29435</v>
      </c>
      <c r="E21" s="18"/>
      <c r="F21" s="18">
        <v>17017</v>
      </c>
      <c r="G21" s="18">
        <v>31932</v>
      </c>
      <c r="H21" s="18">
        <f>F21+G21-B21-D21</f>
        <v>0</v>
      </c>
      <c r="I21" s="18">
        <f>B21-F21</f>
        <v>2497</v>
      </c>
      <c r="J21" s="18"/>
    </row>
    <row r="22" ht="20.05" customHeight="1">
      <c r="A22" s="32"/>
      <c r="B22" s="17">
        <v>18821</v>
      </c>
      <c r="C22" s="18">
        <v>50903</v>
      </c>
      <c r="D22" s="18">
        <f>C22-B22</f>
        <v>32082</v>
      </c>
      <c r="E22" s="18"/>
      <c r="F22" s="18">
        <v>15223</v>
      </c>
      <c r="G22" s="18">
        <v>35680</v>
      </c>
      <c r="H22" s="18">
        <f>F22+G22-B22-D22</f>
        <v>0</v>
      </c>
      <c r="I22" s="18">
        <f>B22-F22</f>
        <v>3598</v>
      </c>
      <c r="J22" s="18"/>
    </row>
    <row r="23" ht="20.05" customHeight="1">
      <c r="A23" s="33">
        <v>2020</v>
      </c>
      <c r="B23" s="17">
        <v>13025</v>
      </c>
      <c r="C23" s="18">
        <v>63300</v>
      </c>
      <c r="D23" s="18">
        <f>C23-B23</f>
        <v>50275</v>
      </c>
      <c r="E23" s="18"/>
      <c r="F23" s="18">
        <v>24233</v>
      </c>
      <c r="G23" s="18">
        <v>39068</v>
      </c>
      <c r="H23" s="18">
        <f>F23+G23-B23-D23</f>
        <v>1</v>
      </c>
      <c r="I23" s="18">
        <f>B23-F23</f>
        <v>-11208</v>
      </c>
      <c r="J23" s="18"/>
    </row>
    <row r="24" ht="20.05" customHeight="1">
      <c r="A24" s="32"/>
      <c r="B24" s="17">
        <v>5110</v>
      </c>
      <c r="C24" s="18">
        <v>41905</v>
      </c>
      <c r="D24" s="18">
        <f>C24-B24</f>
        <v>36795</v>
      </c>
      <c r="E24" s="18">
        <f>6743+130</f>
        <v>6873</v>
      </c>
      <c r="F24" s="18">
        <v>15293</v>
      </c>
      <c r="G24" s="18">
        <v>26612</v>
      </c>
      <c r="H24" s="18">
        <f>F24+G24-B24-D24</f>
        <v>0</v>
      </c>
      <c r="I24" s="18">
        <f>B24-F24</f>
        <v>-10183</v>
      </c>
      <c r="J24" s="18"/>
    </row>
    <row r="25" ht="20.05" customHeight="1">
      <c r="A25" s="32"/>
      <c r="B25" s="17">
        <v>14152</v>
      </c>
      <c r="C25" s="18">
        <v>44744</v>
      </c>
      <c r="D25" s="18">
        <f>C25-B25</f>
        <v>30592</v>
      </c>
      <c r="E25" s="18">
        <f>E24+'Sales'!E26</f>
        <v>7205</v>
      </c>
      <c r="F25" s="18">
        <v>16086</v>
      </c>
      <c r="G25" s="18">
        <v>28658</v>
      </c>
      <c r="H25" s="18">
        <f>F25+G25-B25-D25</f>
        <v>0</v>
      </c>
      <c r="I25" s="18">
        <f>B25-F25</f>
        <v>-1934</v>
      </c>
      <c r="J25" s="18"/>
    </row>
    <row r="26" ht="20.05" customHeight="1">
      <c r="A26" s="32"/>
      <c r="B26" s="17">
        <v>15804</v>
      </c>
      <c r="C26" s="18">
        <v>49674</v>
      </c>
      <c r="D26" s="18">
        <f>C26-B26</f>
        <v>33870</v>
      </c>
      <c r="E26" s="18">
        <f>E25+'Sales'!E27</f>
        <v>7537</v>
      </c>
      <c r="F26" s="18">
        <v>19433</v>
      </c>
      <c r="G26" s="18">
        <v>30241</v>
      </c>
      <c r="H26" s="18">
        <f>F26+G26-B26-D26</f>
        <v>0</v>
      </c>
      <c r="I26" s="18">
        <f>B26-F26</f>
        <v>-3629</v>
      </c>
      <c r="J26" s="18"/>
    </row>
    <row r="27" ht="20.05" customHeight="1">
      <c r="A27" s="33">
        <v>2021</v>
      </c>
      <c r="B27" s="17">
        <v>14021</v>
      </c>
      <c r="C27" s="18">
        <v>45920</v>
      </c>
      <c r="D27" s="18">
        <f>C27-B27</f>
        <v>31899</v>
      </c>
      <c r="E27" s="18">
        <f>E26+'Sales'!E28</f>
        <v>7826.5</v>
      </c>
      <c r="F27" s="18">
        <v>13072</v>
      </c>
      <c r="G27" s="18">
        <v>32848</v>
      </c>
      <c r="H27" s="18">
        <f>F27+G27-B27-D27</f>
        <v>0</v>
      </c>
      <c r="I27" s="18">
        <f>B27-F27</f>
        <v>949</v>
      </c>
      <c r="J27" s="18"/>
    </row>
    <row r="28" ht="20.05" customHeight="1">
      <c r="A28" s="32"/>
      <c r="B28" s="17">
        <v>15673</v>
      </c>
      <c r="C28" s="18">
        <v>44700</v>
      </c>
      <c r="D28" s="18">
        <f>C28-B28</f>
        <v>29027</v>
      </c>
      <c r="E28" s="18">
        <f>7974+150</f>
        <v>8124</v>
      </c>
      <c r="F28" s="18">
        <v>18789</v>
      </c>
      <c r="G28" s="18">
        <v>25911</v>
      </c>
      <c r="H28" s="18">
        <f>F28+G28-B28-D28</f>
        <v>0</v>
      </c>
      <c r="I28" s="18">
        <f>B28-F28</f>
        <v>-3116</v>
      </c>
      <c r="J28" s="18"/>
    </row>
    <row r="29" ht="20.05" customHeight="1">
      <c r="A29" s="32"/>
      <c r="B29" s="17">
        <v>20556</v>
      </c>
      <c r="C29" s="18">
        <v>48853</v>
      </c>
      <c r="D29" s="18">
        <f>C29-B29</f>
        <v>28297</v>
      </c>
      <c r="E29" s="18">
        <f>8170+154</f>
        <v>8324</v>
      </c>
      <c r="F29" s="18">
        <v>21454</v>
      </c>
      <c r="G29" s="18">
        <v>27399</v>
      </c>
      <c r="H29" s="18">
        <f>F29+G29-B29-D29</f>
        <v>0</v>
      </c>
      <c r="I29" s="18">
        <f>B29-F29</f>
        <v>-898</v>
      </c>
      <c r="J29" s="18"/>
    </row>
    <row r="30" ht="20.05" customHeight="1">
      <c r="A30" s="32"/>
      <c r="B30" s="17">
        <v>17844</v>
      </c>
      <c r="C30" s="18">
        <v>53090</v>
      </c>
      <c r="D30" s="18">
        <f>C30-B30</f>
        <v>35246</v>
      </c>
      <c r="E30" s="18">
        <f>E29+'Sales'!E31</f>
        <v>8613.5</v>
      </c>
      <c r="F30" s="18">
        <v>23899</v>
      </c>
      <c r="G30" s="18">
        <f>C30-F30</f>
        <v>29191</v>
      </c>
      <c r="H30" s="18">
        <f>F30+G30-B30-D30</f>
        <v>0</v>
      </c>
      <c r="I30" s="18">
        <f>B30-F30</f>
        <v>-6055</v>
      </c>
      <c r="J30" s="23"/>
    </row>
    <row r="31" ht="20.05" customHeight="1">
      <c r="A31" s="33">
        <v>2025</v>
      </c>
      <c r="B31" s="17">
        <f>B30+'Cashflow'!D32+'Cashflow'!E32+'Cashflow'!I32</f>
        <v>17217.6</v>
      </c>
      <c r="C31" s="18">
        <v>59835</v>
      </c>
      <c r="D31" s="18">
        <f>C31-B31</f>
        <v>42617.4</v>
      </c>
      <c r="E31" s="18">
        <f>E30+'Sales'!E32</f>
        <v>8890.5</v>
      </c>
      <c r="F31" s="18">
        <v>28710</v>
      </c>
      <c r="G31" s="18">
        <f>C31-F31</f>
        <v>31125</v>
      </c>
      <c r="H31" s="18">
        <f>F31+G31-B31-D31</f>
        <v>0</v>
      </c>
      <c r="I31" s="18">
        <f>B31-F31</f>
        <v>-11492.4</v>
      </c>
      <c r="J31" s="18">
        <f>I31</f>
        <v>-11492.4</v>
      </c>
    </row>
    <row r="32" ht="20.05" customHeight="1">
      <c r="A32" s="32"/>
      <c r="B32" s="17"/>
      <c r="C32" s="18"/>
      <c r="D32" s="18"/>
      <c r="E32" s="18"/>
      <c r="F32" s="18"/>
      <c r="G32" s="18"/>
      <c r="H32" s="18"/>
      <c r="I32" s="18"/>
      <c r="J32" s="18">
        <f>'Model'!F32</f>
        <v>-10398.8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48438" style="37" customWidth="1"/>
    <col min="2" max="2" width="7.60938" style="37" customWidth="1"/>
    <col min="3" max="3" width="8.99219" style="37" customWidth="1"/>
    <col min="4" max="5" width="8.85156" style="37" customWidth="1"/>
    <col min="6" max="16384" width="16.3516" style="37" customWidth="1"/>
  </cols>
  <sheetData>
    <row r="1" ht="10.65" customHeight="1"/>
    <row r="2" ht="27.65" customHeight="1">
      <c r="B2" t="s" s="2">
        <v>56</v>
      </c>
      <c r="C2" s="2"/>
      <c r="D2" s="2"/>
      <c r="E2" s="2"/>
    </row>
    <row r="3" ht="20.35" customHeight="1">
      <c r="B3" s="4"/>
      <c r="C3" t="s" s="38">
        <v>56</v>
      </c>
      <c r="D3" t="s" s="39">
        <v>57</v>
      </c>
      <c r="E3" t="s" s="39">
        <v>58</v>
      </c>
    </row>
    <row r="4" ht="20.7" customHeight="1">
      <c r="B4" s="26">
        <v>2018</v>
      </c>
      <c r="C4" s="40">
        <v>3980</v>
      </c>
      <c r="D4" s="41"/>
      <c r="E4" s="41"/>
    </row>
    <row r="5" ht="20.7" customHeight="1">
      <c r="B5" s="32"/>
      <c r="C5" s="42">
        <v>3580</v>
      </c>
      <c r="D5" s="43"/>
      <c r="E5" s="43"/>
    </row>
    <row r="6" ht="20.7" customHeight="1">
      <c r="B6" s="32"/>
      <c r="C6" s="40">
        <v>3850</v>
      </c>
      <c r="D6" s="44"/>
      <c r="E6" s="44"/>
    </row>
    <row r="7" ht="20.7" customHeight="1">
      <c r="B7" s="32"/>
      <c r="C7" s="40">
        <v>3710</v>
      </c>
      <c r="D7" s="44"/>
      <c r="E7" s="44"/>
    </row>
    <row r="8" ht="20.7" customHeight="1">
      <c r="B8" s="33">
        <v>2019</v>
      </c>
      <c r="C8" s="40">
        <v>3750</v>
      </c>
      <c r="D8" s="41"/>
      <c r="E8" s="41"/>
    </row>
    <row r="9" ht="20.7" customHeight="1">
      <c r="B9" s="32"/>
      <c r="C9" s="40">
        <v>3140</v>
      </c>
      <c r="D9" s="41"/>
      <c r="E9" s="41"/>
    </row>
    <row r="10" ht="20.7" customHeight="1">
      <c r="B10" s="32"/>
      <c r="C10" s="40">
        <v>2290</v>
      </c>
      <c r="D10" s="41"/>
      <c r="E10" s="41"/>
    </row>
    <row r="11" ht="20.35" customHeight="1">
      <c r="B11" s="32"/>
      <c r="C11" s="45">
        <v>2100</v>
      </c>
      <c r="D11" s="46"/>
      <c r="E11" s="46"/>
    </row>
    <row r="12" ht="20.05" customHeight="1">
      <c r="B12" s="33">
        <v>2020</v>
      </c>
      <c r="C12" s="47">
        <v>1337</v>
      </c>
      <c r="D12" s="18"/>
      <c r="E12" s="18"/>
    </row>
    <row r="13" ht="20.05" customHeight="1">
      <c r="B13" s="32"/>
      <c r="C13" s="47">
        <v>1645</v>
      </c>
      <c r="D13" s="18"/>
      <c r="E13" s="18"/>
    </row>
    <row r="14" ht="20.05" customHeight="1">
      <c r="B14" s="32"/>
      <c r="C14" s="13">
        <v>1400</v>
      </c>
      <c r="D14" s="18"/>
      <c r="E14" s="18">
        <v>3882.296042989750</v>
      </c>
    </row>
    <row r="15" ht="20.05" customHeight="1">
      <c r="B15" s="32"/>
      <c r="C15" s="13">
        <v>1505</v>
      </c>
      <c r="D15" s="18"/>
      <c r="E15" s="18">
        <v>4302.247933884290</v>
      </c>
    </row>
    <row r="16" ht="20.05" customHeight="1">
      <c r="B16" s="33">
        <v>2021</v>
      </c>
      <c r="C16" s="13">
        <v>1375</v>
      </c>
      <c r="D16" s="18"/>
      <c r="E16" s="18">
        <v>3984.202883586670</v>
      </c>
    </row>
    <row r="17" ht="20.05" customHeight="1">
      <c r="B17" s="32"/>
      <c r="C17" s="13">
        <v>1215</v>
      </c>
      <c r="D17" s="18"/>
      <c r="E17" s="18">
        <v>3913.233088388420</v>
      </c>
    </row>
    <row r="18" ht="20.05" customHeight="1">
      <c r="B18" s="32"/>
      <c r="C18" s="13">
        <v>1020</v>
      </c>
      <c r="D18" s="18"/>
      <c r="E18" s="18"/>
    </row>
    <row r="19" ht="20.05" customHeight="1">
      <c r="B19" s="32"/>
      <c r="C19" s="13">
        <v>965</v>
      </c>
      <c r="D19" s="18"/>
      <c r="E19" s="18"/>
    </row>
    <row r="20" ht="20.05" customHeight="1">
      <c r="B20" s="33">
        <v>2022</v>
      </c>
      <c r="C20" s="21">
        <v>925</v>
      </c>
      <c r="D20" s="23"/>
      <c r="E20" s="18">
        <v>2523.754577530220</v>
      </c>
    </row>
    <row r="21" ht="20.05" customHeight="1">
      <c r="B21" s="32"/>
      <c r="C21" s="13">
        <v>970</v>
      </c>
      <c r="D21" s="14">
        <f>C21</f>
        <v>970</v>
      </c>
      <c r="E21" s="18">
        <v>1853.3900100968</v>
      </c>
    </row>
    <row r="22" ht="20.05" customHeight="1">
      <c r="B22" s="32"/>
      <c r="C22" s="13"/>
      <c r="D22" s="18">
        <f>'Model'!F45</f>
        <v>1610.846947327820</v>
      </c>
      <c r="E22" s="18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2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8" width="11.3047" style="48" customWidth="1"/>
    <col min="9" max="16384" width="16.3516" style="48" customWidth="1"/>
  </cols>
  <sheetData>
    <row r="1" ht="27.65" customHeight="1">
      <c r="A1" t="s" s="2">
        <v>59</v>
      </c>
      <c r="B1" s="2"/>
      <c r="C1" s="2"/>
      <c r="D1" s="2"/>
      <c r="E1" s="2"/>
      <c r="F1" s="2"/>
      <c r="G1" s="2"/>
      <c r="H1" s="2"/>
    </row>
    <row r="2" ht="20.25" customHeight="1">
      <c r="A2" s="35"/>
      <c r="B2" t="s" s="5">
        <v>12</v>
      </c>
      <c r="C2" t="s" s="5">
        <v>50</v>
      </c>
      <c r="D2" t="s" s="5">
        <v>60</v>
      </c>
      <c r="E2" t="s" s="5">
        <v>12</v>
      </c>
      <c r="F2" t="s" s="5">
        <v>50</v>
      </c>
      <c r="G2" t="s" s="5">
        <v>60</v>
      </c>
      <c r="H2" s="4"/>
    </row>
    <row r="3" ht="20.25" customHeight="1">
      <c r="A3" s="26">
        <v>2003</v>
      </c>
      <c r="B3" s="27"/>
      <c r="C3" s="29"/>
      <c r="D3" s="29"/>
      <c r="E3" s="29">
        <f>B3</f>
        <v>0</v>
      </c>
      <c r="F3" s="29">
        <f>C3</f>
        <v>0</v>
      </c>
      <c r="G3" s="29">
        <f>D3</f>
        <v>0</v>
      </c>
      <c r="H3" s="8"/>
    </row>
    <row r="4" ht="20.05" customHeight="1">
      <c r="A4" s="33">
        <f>1+$A3</f>
        <v>2004</v>
      </c>
      <c r="B4" s="17"/>
      <c r="C4" s="18"/>
      <c r="D4" s="18"/>
      <c r="E4" s="18">
        <f>B4+E3</f>
        <v>0</v>
      </c>
      <c r="F4" s="18">
        <f>C4+F3</f>
        <v>0</v>
      </c>
      <c r="G4" s="18">
        <f>D4+G3</f>
        <v>0</v>
      </c>
      <c r="H4" s="23"/>
    </row>
    <row r="5" ht="20.05" customHeight="1">
      <c r="A5" s="33">
        <f>1+$A4</f>
        <v>2005</v>
      </c>
      <c r="B5" s="17"/>
      <c r="C5" s="18"/>
      <c r="D5" s="18"/>
      <c r="E5" s="18">
        <f>B5+E4</f>
        <v>0</v>
      </c>
      <c r="F5" s="18">
        <f>C5+F4</f>
        <v>0</v>
      </c>
      <c r="G5" s="18">
        <f>D5+G4</f>
        <v>0</v>
      </c>
      <c r="H5" s="23"/>
    </row>
    <row r="6" ht="20.05" customHeight="1">
      <c r="A6" s="33">
        <f>1+$A5</f>
        <v>2006</v>
      </c>
      <c r="B6" s="17"/>
      <c r="C6" s="18"/>
      <c r="D6" s="18"/>
      <c r="E6" s="18">
        <f>B6+E5</f>
        <v>0</v>
      </c>
      <c r="F6" s="18">
        <f>C6+F5</f>
        <v>0</v>
      </c>
      <c r="G6" s="18">
        <f>D6+G5</f>
        <v>0</v>
      </c>
      <c r="H6" s="23"/>
    </row>
    <row r="7" ht="20.05" customHeight="1">
      <c r="A7" s="33">
        <f>1+$A6</f>
        <v>2007</v>
      </c>
      <c r="B7" s="17"/>
      <c r="C7" s="18"/>
      <c r="D7" s="18"/>
      <c r="E7" s="18">
        <f>B7+E6</f>
        <v>0</v>
      </c>
      <c r="F7" s="18">
        <f>C7+F6</f>
        <v>0</v>
      </c>
      <c r="G7" s="18">
        <f>D7+G6</f>
        <v>0</v>
      </c>
      <c r="H7" s="23"/>
    </row>
    <row r="8" ht="20.05" customHeight="1">
      <c r="A8" s="33">
        <f>1+$A7</f>
        <v>2008</v>
      </c>
      <c r="B8" s="17">
        <v>-1179</v>
      </c>
      <c r="C8" s="18">
        <v>-3463</v>
      </c>
      <c r="D8" s="18">
        <f>B8+C8</f>
        <v>-4642</v>
      </c>
      <c r="E8" s="18">
        <f>B8+E7</f>
        <v>-1179</v>
      </c>
      <c r="F8" s="18">
        <f>C8+F7</f>
        <v>-3463</v>
      </c>
      <c r="G8" s="18">
        <f>D8+G7</f>
        <v>-4642</v>
      </c>
      <c r="H8" s="23"/>
    </row>
    <row r="9" ht="20.05" customHeight="1">
      <c r="A9" s="33">
        <f>1+$A8</f>
        <v>2009</v>
      </c>
      <c r="B9" s="17">
        <v>-995</v>
      </c>
      <c r="C9" s="18">
        <v>-2455</v>
      </c>
      <c r="D9" s="18">
        <f>B9+C9</f>
        <v>-3450</v>
      </c>
      <c r="E9" s="18">
        <f>B9+E8</f>
        <v>-2174</v>
      </c>
      <c r="F9" s="18">
        <f>C9+F8</f>
        <v>-5918</v>
      </c>
      <c r="G9" s="18">
        <f>D9+G8</f>
        <v>-8092</v>
      </c>
      <c r="H9" s="23"/>
    </row>
    <row r="10" ht="20.05" customHeight="1">
      <c r="A10" s="33">
        <f>1+$A9</f>
        <v>2010</v>
      </c>
      <c r="B10" s="17">
        <v>-81</v>
      </c>
      <c r="C10" s="18">
        <v>-3353</v>
      </c>
      <c r="D10" s="18">
        <f>B10+C10</f>
        <v>-3434</v>
      </c>
      <c r="E10" s="18">
        <f>B10+E9</f>
        <v>-2255</v>
      </c>
      <c r="F10" s="18">
        <f>C10+F9</f>
        <v>-9271</v>
      </c>
      <c r="G10" s="18">
        <f>D10+G9</f>
        <v>-11526</v>
      </c>
      <c r="H10" s="23"/>
    </row>
    <row r="11" ht="20.05" customHeight="1">
      <c r="A11" s="33">
        <f>1+$A10</f>
        <v>2011</v>
      </c>
      <c r="B11" s="17">
        <v>-2</v>
      </c>
      <c r="C11" s="18">
        <v>-12053</v>
      </c>
      <c r="D11" s="18">
        <f>B11+C11</f>
        <v>-12055</v>
      </c>
      <c r="E11" s="18">
        <f>B11+E10</f>
        <v>-2257</v>
      </c>
      <c r="F11" s="18">
        <f>C11+F10</f>
        <v>-21324</v>
      </c>
      <c r="G11" s="18">
        <f>D11+G10</f>
        <v>-23581</v>
      </c>
      <c r="H11" s="23"/>
    </row>
    <row r="12" ht="20.05" customHeight="1">
      <c r="A12" s="33">
        <f>1+$A11</f>
        <v>2012</v>
      </c>
      <c r="B12" s="17">
        <v>1929</v>
      </c>
      <c r="C12" s="18">
        <v>-6794</v>
      </c>
      <c r="D12" s="18">
        <f>B12+C12</f>
        <v>-4865</v>
      </c>
      <c r="E12" s="18">
        <f>B12+E11</f>
        <v>-328</v>
      </c>
      <c r="F12" s="18">
        <f>C12+F11</f>
        <v>-28118</v>
      </c>
      <c r="G12" s="18">
        <f>D12+G11</f>
        <v>-28446</v>
      </c>
      <c r="H12" s="23"/>
    </row>
    <row r="13" ht="20.05" customHeight="1">
      <c r="A13" s="33">
        <f>1+$A12</f>
        <v>2013</v>
      </c>
      <c r="B13" s="17">
        <v>563</v>
      </c>
      <c r="C13" s="18">
        <v>-9945</v>
      </c>
      <c r="D13" s="18">
        <f>B13+C13</f>
        <v>-9382</v>
      </c>
      <c r="E13" s="18">
        <f>B13+E12</f>
        <v>235</v>
      </c>
      <c r="F13" s="18">
        <f>C13+F12</f>
        <v>-38063</v>
      </c>
      <c r="G13" s="18">
        <f>D13+G12</f>
        <v>-37828</v>
      </c>
      <c r="H13" s="23"/>
    </row>
    <row r="14" ht="20.05" customHeight="1">
      <c r="A14" s="33">
        <f>1+$A13</f>
        <v>2014</v>
      </c>
      <c r="B14" s="17">
        <v>269</v>
      </c>
      <c r="C14" s="18">
        <v>-10650</v>
      </c>
      <c r="D14" s="18">
        <f>B14+C14</f>
        <v>-10381</v>
      </c>
      <c r="E14" s="18">
        <f>B14+E13</f>
        <v>504</v>
      </c>
      <c r="F14" s="18">
        <f>C14+F13</f>
        <v>-48713</v>
      </c>
      <c r="G14" s="18">
        <f>D14+G13</f>
        <v>-48209</v>
      </c>
      <c r="H14" s="23"/>
    </row>
    <row r="15" ht="20.05" customHeight="1">
      <c r="A15" s="33">
        <f>1+$A14</f>
        <v>2015</v>
      </c>
      <c r="B15" s="17">
        <v>-3029</v>
      </c>
      <c r="C15" s="18">
        <v>8518</v>
      </c>
      <c r="D15" s="18">
        <f>B15+C15</f>
        <v>5489</v>
      </c>
      <c r="E15" s="18">
        <f>B15+E14</f>
        <v>-2525</v>
      </c>
      <c r="F15" s="18">
        <f>C15+F14</f>
        <v>-40195</v>
      </c>
      <c r="G15" s="18">
        <f>D15+G14</f>
        <v>-42720</v>
      </c>
      <c r="H15" s="23"/>
    </row>
    <row r="16" ht="20.05" customHeight="1">
      <c r="A16" s="33">
        <f>1+$A15</f>
        <v>2016</v>
      </c>
      <c r="B16" s="17">
        <v>0</v>
      </c>
      <c r="C16" s="18">
        <v>-10352</v>
      </c>
      <c r="D16" s="18">
        <f>B16+C16</f>
        <v>-10352</v>
      </c>
      <c r="E16" s="18">
        <f>B16+E15</f>
        <v>-2525</v>
      </c>
      <c r="F16" s="18">
        <f>C16+F15</f>
        <v>-50547</v>
      </c>
      <c r="G16" s="18">
        <f>D16+G15</f>
        <v>-53072</v>
      </c>
      <c r="H16" s="23"/>
    </row>
    <row r="17" ht="20.05" customHeight="1">
      <c r="A17" s="33">
        <f>1+$A16</f>
        <v>2017</v>
      </c>
      <c r="B17" s="17">
        <v>0</v>
      </c>
      <c r="C17" s="18">
        <v>-12528</v>
      </c>
      <c r="D17" s="18">
        <f>B17+C17</f>
        <v>-12528</v>
      </c>
      <c r="E17" s="18">
        <f>B17+E16</f>
        <v>-2525</v>
      </c>
      <c r="F17" s="18">
        <f>C17+F16</f>
        <v>-63075</v>
      </c>
      <c r="G17" s="18">
        <f>D17+G16</f>
        <v>-65600</v>
      </c>
      <c r="H17" s="23"/>
    </row>
    <row r="18" ht="20.05" customHeight="1">
      <c r="A18" s="33">
        <f>1+$A17</f>
        <v>2018</v>
      </c>
      <c r="B18" s="17">
        <v>0</v>
      </c>
      <c r="C18" s="18">
        <v>-12481</v>
      </c>
      <c r="D18" s="18">
        <f>B18+C18</f>
        <v>-12481</v>
      </c>
      <c r="E18" s="18">
        <f>B18+E17</f>
        <v>-2525</v>
      </c>
      <c r="F18" s="18">
        <f>C18+F17</f>
        <v>-75556</v>
      </c>
      <c r="G18" s="18">
        <f>D18+G17</f>
        <v>-78081</v>
      </c>
      <c r="H18" s="23"/>
    </row>
    <row r="19" ht="20.05" customHeight="1">
      <c r="A19" s="33">
        <f>1+$A18</f>
        <v>2019</v>
      </c>
      <c r="B19" s="17">
        <v>7</v>
      </c>
      <c r="C19" s="18">
        <v>-13633</v>
      </c>
      <c r="D19" s="18">
        <f>B19+C19</f>
        <v>-13626</v>
      </c>
      <c r="E19" s="18">
        <f>B19+E18</f>
        <v>-2518</v>
      </c>
      <c r="F19" s="18">
        <f>C19+F18</f>
        <v>-89189</v>
      </c>
      <c r="G19" s="18">
        <f>D19+G18</f>
        <v>-91707</v>
      </c>
      <c r="H19" s="22">
        <f>AVERAGE(D8:D21)</f>
        <v>-8145.592857142860</v>
      </c>
    </row>
    <row r="20" ht="20.05" customHeight="1">
      <c r="A20" s="33">
        <f>1+$A19</f>
        <v>2020</v>
      </c>
      <c r="B20" s="17">
        <v>-7.3</v>
      </c>
      <c r="C20" s="18">
        <v>-13935</v>
      </c>
      <c r="D20" s="18">
        <f>B20+C20</f>
        <v>-13942.3</v>
      </c>
      <c r="E20" s="18">
        <f>B20+E19</f>
        <v>-2525.3</v>
      </c>
      <c r="F20" s="18">
        <f>C20+F19</f>
        <v>-103124</v>
      </c>
      <c r="G20" s="18">
        <f>D20+G19</f>
        <v>-105649.3</v>
      </c>
      <c r="H20" s="22">
        <f>AVERAGE(D17:D21)</f>
        <v>-12193.26</v>
      </c>
    </row>
    <row r="21" ht="20.05" customHeight="1">
      <c r="A21" s="33">
        <f>1+$A20</f>
        <v>2021</v>
      </c>
      <c r="B21" s="17">
        <f>SUM('Cashflow'!G28:G31)</f>
        <v>79</v>
      </c>
      <c r="C21" s="18">
        <f>SUM('Cashflow'!H28:H31)</f>
        <v>-8468</v>
      </c>
      <c r="D21" s="18">
        <f>B21+C21</f>
        <v>-8389</v>
      </c>
      <c r="E21" s="18">
        <f>B21+E20</f>
        <v>-2446.3</v>
      </c>
      <c r="F21" s="18">
        <f>C21+F20</f>
        <v>-111592</v>
      </c>
      <c r="G21" s="18">
        <f>D21+G20</f>
        <v>-114038.3</v>
      </c>
      <c r="H21" s="22">
        <f>SUM('Cashflow'!G29:H32)</f>
        <v>-8440</v>
      </c>
    </row>
    <row r="22" ht="20.05" customHeight="1">
      <c r="A22" s="33">
        <f>1+$A21</f>
        <v>2022</v>
      </c>
      <c r="B22" s="17">
        <f>'Cashflow'!G32</f>
        <v>-51</v>
      </c>
      <c r="C22" s="18">
        <f>'Cashflow'!H32</f>
        <v>0</v>
      </c>
      <c r="D22" s="18">
        <f>B22+C22</f>
        <v>-51</v>
      </c>
      <c r="E22" s="18">
        <f>B22+E21</f>
        <v>-2497.3</v>
      </c>
      <c r="F22" s="18">
        <f>C22+F21</f>
        <v>-111592</v>
      </c>
      <c r="G22" s="18">
        <f>D22+G21</f>
        <v>-114089.3</v>
      </c>
      <c r="H22" s="23"/>
    </row>
  </sheetData>
  <mergeCells count="1">
    <mergeCell ref="A1:H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