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<sst xmlns="http://schemas.openxmlformats.org/spreadsheetml/2006/main" uniqueCount="56">
  <si>
    <t>Financial model</t>
  </si>
  <si>
    <t>Rp bn</t>
  </si>
  <si>
    <t>4Q 2021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</si>
  <si>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</si>
  <si>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</si>
  <si>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</si>
  <si>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</si>
  <si>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</si>
  <si>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</si>
  <si>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</si>
  <si>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Leases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</si>
  <si>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</si>
  <si>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</si>
  <si>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</si>
  <si>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</si>
  <si>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</si>
  <si>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</si>
  <si>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</si>
  <si>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</si>
  <si>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</si>
  <si>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</si>
  <si>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</si>
  <si>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</si>
  <si>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</si>
  <si>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</si>
  <si>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</si>
  <si>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</si>
  <si>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</si>
  <si>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>Capital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</si>
  <si>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</si>
  <si>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</si>
  <si>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</si>
  <si>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</si>
  <si>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</si>
  <si>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</si>
  <si>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</si>
  <si>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</si>
  <si>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</si>
  <si>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</si>
  <si>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</si>
  <si>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</si>
  <si>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</si>
  <si>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Non cash costs</t>
  </si>
  <si>
    <t>Profit</t>
  </si>
  <si>
    <t xml:space="preserve">Sales growth </t>
  </si>
  <si>
    <t xml:space="preserve">Cash cost ratio </t>
  </si>
  <si>
    <t>Cashflow costs</t>
  </si>
  <si>
    <t>Receipts</t>
  </si>
  <si>
    <t xml:space="preserve">Free cashflow </t>
  </si>
  <si>
    <t xml:space="preserve">Capital </t>
  </si>
  <si>
    <t>Cash</t>
  </si>
  <si>
    <t>Assets</t>
  </si>
  <si>
    <t>Leasing liabilities</t>
  </si>
  <si>
    <t>Check</t>
  </si>
  <si>
    <t>Share price</t>
  </si>
  <si>
    <t>HERO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</si>
</sst>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.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  <font>
      <sz val="10"/>
      <color indexed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0" fontId="4" borderId="7" applyNumberFormat="0" applyFont="1" applyFill="0" applyBorder="1" applyAlignment="1" applyProtection="0">
      <alignment horizontal="right" vertical="top" wrapText="1"/>
    </xf>
    <xf numFmtId="3" fontId="4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416896</xdr:colOff>
      <xdr:row>1</xdr:row>
      <xdr:rowOff>325662</xdr:rowOff>
    </xdr:from>
    <xdr:to>
      <xdr:col>13</xdr:col>
      <xdr:colOff>483778</xdr:colOff>
      <xdr:row>47</xdr:row>
      <xdr:rowOff>106752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569796" y="478062"/>
          <a:ext cx="8779083" cy="11595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4.7656" style="1" customWidth="1"/>
    <col min="3" max="6" width="9.54688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t="s" s="5">
        <v>2</v>
      </c>
      <c r="E3" s="6"/>
      <c r="F3" s="4"/>
    </row>
    <row r="4" ht="20.25" customHeight="1">
      <c r="B4" t="s" s="7">
        <v>3</v>
      </c>
      <c r="C4" s="8">
        <f>AVERAGE('Sales'!G22:G25)</f>
        <v>-0.144282149700594</v>
      </c>
      <c r="D4" s="9"/>
      <c r="E4" s="9"/>
      <c r="F4" s="10">
        <f>AVERAGE(C5:F5)</f>
        <v>0.47</v>
      </c>
    </row>
    <row r="5" ht="20.05" customHeight="1">
      <c r="B5" t="s" s="11">
        <v>4</v>
      </c>
      <c r="C5" s="12">
        <v>1.5</v>
      </c>
      <c r="D5" s="13">
        <v>-0.02</v>
      </c>
      <c r="E5" s="13">
        <v>0.2</v>
      </c>
      <c r="F5" s="13">
        <v>0.2</v>
      </c>
    </row>
    <row r="6" ht="20.05" customHeight="1">
      <c r="B6" t="s" s="11">
        <v>5</v>
      </c>
      <c r="C6" s="14">
        <f>'Sales'!C25*(1+C5)</f>
        <v>1949.75</v>
      </c>
      <c r="D6" s="15">
        <f>C6*(1+D5)</f>
        <v>1910.755</v>
      </c>
      <c r="E6" s="15">
        <f>D6*(1+E5)</f>
        <v>2292.906</v>
      </c>
      <c r="F6" s="15">
        <f>E6*(1+F5)</f>
        <v>2751.4872</v>
      </c>
    </row>
    <row r="7" ht="20.05" customHeight="1">
      <c r="B7" t="s" s="11">
        <v>6</v>
      </c>
      <c r="C7" s="12">
        <f>AVERAGE('Sales'!H23)</f>
        <v>-0.959730020985764</v>
      </c>
      <c r="D7" s="13">
        <f>C7</f>
        <v>-0.959730020985764</v>
      </c>
      <c r="E7" s="13">
        <f>D7</f>
        <v>-0.959730020985764</v>
      </c>
      <c r="F7" s="13">
        <f>E7</f>
        <v>-0.959730020985764</v>
      </c>
    </row>
    <row r="8" ht="20.05" customHeight="1">
      <c r="B8" t="s" s="11">
        <v>7</v>
      </c>
      <c r="C8" s="16">
        <f>C6*C7</f>
        <v>-1871.233608416990</v>
      </c>
      <c r="D8" s="17">
        <f>D6*D7</f>
        <v>-1833.808936248650</v>
      </c>
      <c r="E8" s="17">
        <f>E6*E7</f>
        <v>-2200.570723498380</v>
      </c>
      <c r="F8" s="17">
        <f>F6*F7</f>
        <v>-2640.684868198060</v>
      </c>
    </row>
    <row r="9" ht="20.05" customHeight="1">
      <c r="B9" t="s" s="11">
        <v>8</v>
      </c>
      <c r="C9" s="16">
        <f>C6+C8</f>
        <v>78.51639158301001</v>
      </c>
      <c r="D9" s="17">
        <f>D6+D8</f>
        <v>76.946063751350</v>
      </c>
      <c r="E9" s="17">
        <f>E6+E8</f>
        <v>92.335276501620</v>
      </c>
      <c r="F9" s="17">
        <f>F6+F8</f>
        <v>110.802331801940</v>
      </c>
    </row>
    <row r="10" ht="20.05" customHeight="1">
      <c r="B10" t="s" s="11">
        <v>9</v>
      </c>
      <c r="C10" s="16">
        <f>AVERAGE('Cashflow '!F24)</f>
        <v>-47.9</v>
      </c>
      <c r="D10" s="17">
        <f>C10</f>
        <v>-47.9</v>
      </c>
      <c r="E10" s="17">
        <f>D10</f>
        <v>-47.9</v>
      </c>
      <c r="F10" s="17">
        <f>E10</f>
        <v>-47.9</v>
      </c>
    </row>
    <row r="11" ht="20.05" customHeight="1">
      <c r="B11" t="s" s="11">
        <v>10</v>
      </c>
      <c r="C11" s="16">
        <f>'Cashflow '!D26</f>
        <v>-47.3</v>
      </c>
      <c r="D11" s="17">
        <f>C11</f>
        <v>-47.3</v>
      </c>
      <c r="E11" s="17">
        <f>D11</f>
        <v>-47.3</v>
      </c>
      <c r="F11" s="17">
        <f>E11</f>
        <v>-47.3</v>
      </c>
    </row>
    <row r="12" ht="20.05" customHeight="1">
      <c r="B12" t="s" s="11">
        <v>11</v>
      </c>
      <c r="C12" s="16">
        <f>C13+C14+C16</f>
        <v>-30.616391583010</v>
      </c>
      <c r="D12" s="17">
        <f>D13+D14+D16</f>
        <v>-29.046063751350</v>
      </c>
      <c r="E12" s="17">
        <f>E13+E14+E16</f>
        <v>-44.435276501620</v>
      </c>
      <c r="F12" s="17">
        <f>F13+F14+F16</f>
        <v>-62.902331801940</v>
      </c>
    </row>
    <row r="13" ht="20.05" customHeight="1">
      <c r="B13" t="s" s="11">
        <v>12</v>
      </c>
      <c r="C13" s="16">
        <f>-'Balance sheet'!H26/20</f>
        <v>-171.85</v>
      </c>
      <c r="D13" s="17">
        <f>-C27/20</f>
        <v>-163.2575</v>
      </c>
      <c r="E13" s="17">
        <f>-D27/20</f>
        <v>-155.094625</v>
      </c>
      <c r="F13" s="17">
        <f>-E27/20</f>
        <v>-147.33989375</v>
      </c>
    </row>
    <row r="14" ht="20.05" customHeight="1">
      <c r="B14" t="s" s="11">
        <v>13</v>
      </c>
      <c r="C14" s="16">
        <f>IF(C22&gt;0,-C22*0.1,0)</f>
        <v>0</v>
      </c>
      <c r="D14" s="17">
        <f>IF(D22&gt;0,-D22*0.1,0)</f>
        <v>0</v>
      </c>
      <c r="E14" s="17">
        <f>IF(E22&gt;0,-E22*0.1,0)</f>
        <v>-0.003527650162</v>
      </c>
      <c r="F14" s="17">
        <f>IF(F22&gt;0,-F22*0.1,0)</f>
        <v>-1.850233180194</v>
      </c>
    </row>
    <row r="15" ht="20.05" customHeight="1">
      <c r="B15" t="s" s="11">
        <v>14</v>
      </c>
      <c r="C15" s="16">
        <f>C9+C10+C13+C14</f>
        <v>-141.233608416990</v>
      </c>
      <c r="D15" s="17">
        <f>D9+D10+D13+D14</f>
        <v>-134.211436248650</v>
      </c>
      <c r="E15" s="17">
        <f>E9+E10+E13+E14</f>
        <v>-110.662876148542</v>
      </c>
      <c r="F15" s="17">
        <f>F9+F10+F13+F14</f>
        <v>-86.287795128254</v>
      </c>
    </row>
    <row r="16" ht="20.05" customHeight="1">
      <c r="B16" t="s" s="11">
        <v>15</v>
      </c>
      <c r="C16" s="16">
        <f>-MIN(0,C15)</f>
        <v>141.233608416990</v>
      </c>
      <c r="D16" s="17">
        <f>-MIN(C28,D15)</f>
        <v>134.211436248650</v>
      </c>
      <c r="E16" s="17">
        <f>-MIN(D28,E15)</f>
        <v>110.662876148542</v>
      </c>
      <c r="F16" s="17">
        <f>-MIN(E28,F15)</f>
        <v>86.287795128254</v>
      </c>
    </row>
    <row r="17" ht="20.05" customHeight="1">
      <c r="B17" t="s" s="11">
        <v>16</v>
      </c>
      <c r="C17" s="16">
        <f>'Balance sheet'!C26</f>
        <v>79</v>
      </c>
      <c r="D17" s="17">
        <f>C19</f>
        <v>79</v>
      </c>
      <c r="E17" s="17">
        <f>D19</f>
        <v>79</v>
      </c>
      <c r="F17" s="17">
        <f>E19</f>
        <v>79</v>
      </c>
    </row>
    <row r="18" ht="20.05" customHeight="1">
      <c r="B18" t="s" s="11">
        <v>17</v>
      </c>
      <c r="C18" s="16">
        <f>C9+C10+C12</f>
        <v>0</v>
      </c>
      <c r="D18" s="17">
        <f>D9+D10+D12</f>
        <v>0</v>
      </c>
      <c r="E18" s="17">
        <f>E9+E10+E12</f>
        <v>0</v>
      </c>
      <c r="F18" s="17">
        <f>F9+F10+F12</f>
        <v>0</v>
      </c>
    </row>
    <row r="19" ht="20.05" customHeight="1">
      <c r="B19" t="s" s="11">
        <v>18</v>
      </c>
      <c r="C19" s="16">
        <f>C17+C18</f>
        <v>79</v>
      </c>
      <c r="D19" s="17">
        <f>D17+D18</f>
        <v>79</v>
      </c>
      <c r="E19" s="17">
        <f>E17+E18</f>
        <v>79</v>
      </c>
      <c r="F19" s="17">
        <f>F17+F18</f>
        <v>79</v>
      </c>
    </row>
    <row r="20" ht="20.05" customHeight="1">
      <c r="B20" t="s" s="18">
        <v>19</v>
      </c>
      <c r="C20" s="16"/>
      <c r="D20" s="17"/>
      <c r="E20" s="17"/>
      <c r="F20" s="19"/>
    </row>
    <row r="21" ht="20.05" customHeight="1">
      <c r="B21" t="s" s="11">
        <v>20</v>
      </c>
      <c r="C21" s="16">
        <f>-AVERAGE('Sales'!E25)</f>
        <v>-92.3</v>
      </c>
      <c r="D21" s="17">
        <f>C21</f>
        <v>-92.3</v>
      </c>
      <c r="E21" s="17">
        <f>D21</f>
        <v>-92.3</v>
      </c>
      <c r="F21" s="17">
        <f>E21</f>
        <v>-92.3</v>
      </c>
    </row>
    <row r="22" ht="20.05" customHeight="1">
      <c r="B22" t="s" s="11">
        <v>19</v>
      </c>
      <c r="C22" s="16">
        <f>C6+C8+C21</f>
        <v>-13.783608416990</v>
      </c>
      <c r="D22" s="17">
        <f>D6+D8+D21</f>
        <v>-15.353936248650</v>
      </c>
      <c r="E22" s="17">
        <f>E6+E8+E21</f>
        <v>0.035276501620</v>
      </c>
      <c r="F22" s="17">
        <f>F6+F8+F21</f>
        <v>18.502331801940</v>
      </c>
    </row>
    <row r="23" ht="20.05" customHeight="1">
      <c r="B23" t="s" s="18">
        <v>21</v>
      </c>
      <c r="C23" s="16"/>
      <c r="D23" s="17"/>
      <c r="E23" s="17"/>
      <c r="F23" s="17"/>
    </row>
    <row r="24" ht="20.05" customHeight="1">
      <c r="B24" t="s" s="11">
        <v>22</v>
      </c>
      <c r="C24" s="16">
        <f>'Balance sheet'!E26+'Balance sheet'!F26-C10</f>
        <v>9200.9</v>
      </c>
      <c r="D24" s="17">
        <f>C24-D10</f>
        <v>9248.799999999999</v>
      </c>
      <c r="E24" s="17">
        <f>D24-E10</f>
        <v>9296.700000000001</v>
      </c>
      <c r="F24" s="17">
        <f>E24-F10</f>
        <v>9344.6</v>
      </c>
    </row>
    <row r="25" ht="20.05" customHeight="1">
      <c r="B25" t="s" s="11">
        <v>23</v>
      </c>
      <c r="C25" s="16">
        <f>'Balance sheet'!F26-C21</f>
        <v>4797.3</v>
      </c>
      <c r="D25" s="17">
        <f>C25-D21</f>
        <v>4889.6</v>
      </c>
      <c r="E25" s="17">
        <f>D25-E21</f>
        <v>4981.9</v>
      </c>
      <c r="F25" s="17">
        <f>E25-F21</f>
        <v>5074.2</v>
      </c>
    </row>
    <row r="26" ht="20.05" customHeight="1">
      <c r="B26" t="s" s="11">
        <v>24</v>
      </c>
      <c r="C26" s="16">
        <f>C24-C25</f>
        <v>4403.6</v>
      </c>
      <c r="D26" s="17">
        <f>D24-D25</f>
        <v>4359.2</v>
      </c>
      <c r="E26" s="17">
        <f>E24-E25</f>
        <v>4314.8</v>
      </c>
      <c r="F26" s="17">
        <f>F24-F25</f>
        <v>4270.4</v>
      </c>
    </row>
    <row r="27" ht="20.05" customHeight="1">
      <c r="B27" t="s" s="11">
        <v>12</v>
      </c>
      <c r="C27" s="16">
        <f>'Balance sheet'!H26+C13</f>
        <v>3265.15</v>
      </c>
      <c r="D27" s="17">
        <f>C27+D13</f>
        <v>3101.8925</v>
      </c>
      <c r="E27" s="17">
        <f>D27+E13</f>
        <v>2946.797875</v>
      </c>
      <c r="F27" s="17">
        <f>E27+F13</f>
        <v>2799.45798125</v>
      </c>
    </row>
    <row r="28" ht="20.05" customHeight="1">
      <c r="B28" t="s" s="11">
        <v>15</v>
      </c>
      <c r="C28" s="16">
        <f>C16</f>
        <v>141.233608416990</v>
      </c>
      <c r="D28" s="17">
        <f>C28+D16</f>
        <v>275.445044665640</v>
      </c>
      <c r="E28" s="17">
        <f>D28+E16</f>
        <v>386.107920814182</v>
      </c>
      <c r="F28" s="17">
        <f>E28+F16</f>
        <v>472.395715942436</v>
      </c>
    </row>
    <row r="29" ht="20.05" customHeight="1">
      <c r="B29" t="s" s="11">
        <v>13</v>
      </c>
      <c r="C29" s="16">
        <f>'Balance sheet'!I26+C22+C14</f>
        <v>1076.216391583010</v>
      </c>
      <c r="D29" s="17">
        <f>C29+D22+D14</f>
        <v>1060.862455334360</v>
      </c>
      <c r="E29" s="17">
        <f>D29+E22+E14</f>
        <v>1060.894204185820</v>
      </c>
      <c r="F29" s="17">
        <f>E29+F22+F14</f>
        <v>1077.546302807570</v>
      </c>
    </row>
    <row r="30" ht="20.05" customHeight="1">
      <c r="B30" t="s" s="11">
        <v>25</v>
      </c>
      <c r="C30" s="16">
        <f>C27+C28+C29-C19-C26</f>
        <v>0</v>
      </c>
      <c r="D30" s="17">
        <f>D27+D28+D29-D19-D26</f>
        <v>0</v>
      </c>
      <c r="E30" s="17">
        <f>E27+E28+E29-E19-E26</f>
        <v>2e-12</v>
      </c>
      <c r="F30" s="17">
        <f>F27+F28+F29-F19-F26</f>
        <v>6e-12</v>
      </c>
    </row>
    <row r="31" ht="20.05" customHeight="1">
      <c r="B31" t="s" s="11">
        <v>26</v>
      </c>
      <c r="C31" s="16">
        <f>C19-C27-C28</f>
        <v>-3327.383608416990</v>
      </c>
      <c r="D31" s="17">
        <f>D19-D27-D28</f>
        <v>-3298.337544665640</v>
      </c>
      <c r="E31" s="17">
        <f>E19-E27-E28</f>
        <v>-3253.905795814180</v>
      </c>
      <c r="F31" s="17">
        <f>F19-F27-F28</f>
        <v>-3192.853697192440</v>
      </c>
    </row>
    <row r="32" ht="20.05" customHeight="1">
      <c r="B32" t="s" s="18">
        <v>27</v>
      </c>
      <c r="C32" s="16"/>
      <c r="D32" s="17"/>
      <c r="E32" s="17"/>
      <c r="F32" s="17"/>
    </row>
    <row r="33" ht="20.05" customHeight="1">
      <c r="B33" t="s" s="11">
        <v>28</v>
      </c>
      <c r="C33" s="16">
        <f>'Cashflow '!J26-C12</f>
        <v>-852.083608416990</v>
      </c>
      <c r="D33" s="17">
        <f>C33-D12</f>
        <v>-823.037544665640</v>
      </c>
      <c r="E33" s="17">
        <f>D33-E12</f>
        <v>-778.602268164020</v>
      </c>
      <c r="F33" s="17">
        <f>E33-F12</f>
        <v>-715.6999363620801</v>
      </c>
    </row>
    <row r="34" ht="20.05" customHeight="1">
      <c r="B34" t="s" s="11">
        <v>29</v>
      </c>
      <c r="C34" s="16"/>
      <c r="D34" s="17"/>
      <c r="E34" s="17"/>
      <c r="F34" s="17">
        <v>7426</v>
      </c>
    </row>
    <row r="35" ht="20.05" customHeight="1">
      <c r="B35" t="s" s="11">
        <v>30</v>
      </c>
      <c r="C35" s="16"/>
      <c r="D35" s="17"/>
      <c r="E35" s="17"/>
      <c r="F35" s="20">
        <f>F34/(F19+F26)</f>
        <v>1.70736193497954</v>
      </c>
    </row>
    <row r="36" ht="20.05" customHeight="1">
      <c r="B36" t="s" s="11">
        <v>31</v>
      </c>
      <c r="C36" s="16"/>
      <c r="D36" s="17"/>
      <c r="E36" s="17"/>
      <c r="F36" s="21">
        <f>-(C14+D14+E14+F14)/F34</f>
        <v>0.000249631137941826</v>
      </c>
    </row>
    <row r="37" ht="20.05" customHeight="1">
      <c r="B37" t="s" s="11">
        <v>32</v>
      </c>
      <c r="C37" s="16"/>
      <c r="D37" s="17"/>
      <c r="E37" s="17"/>
      <c r="F37" s="17">
        <f>C9+D9+E9+F9+C11+D11+E11+F11</f>
        <v>169.400063637920</v>
      </c>
    </row>
    <row r="38" ht="20.05" customHeight="1">
      <c r="B38" t="s" s="11">
        <v>33</v>
      </c>
      <c r="C38" s="16"/>
      <c r="D38" s="17"/>
      <c r="E38" s="17"/>
      <c r="F38" s="17">
        <f>'Balance sheet'!E26/F37</f>
        <v>26.2573691206354</v>
      </c>
    </row>
    <row r="39" ht="20.05" customHeight="1">
      <c r="B39" t="s" s="11">
        <v>27</v>
      </c>
      <c r="C39" s="16"/>
      <c r="D39" s="17"/>
      <c r="E39" s="17"/>
      <c r="F39" s="17">
        <f>F34/F37</f>
        <v>43.8370555507731</v>
      </c>
    </row>
    <row r="40" ht="20.05" customHeight="1">
      <c r="B40" t="s" s="11">
        <v>34</v>
      </c>
      <c r="C40" s="16"/>
      <c r="D40" s="17"/>
      <c r="E40" s="17"/>
      <c r="F40" s="17">
        <v>25</v>
      </c>
    </row>
    <row r="41" ht="20.05" customHeight="1">
      <c r="B41" t="s" s="11">
        <v>35</v>
      </c>
      <c r="C41" s="16"/>
      <c r="D41" s="17"/>
      <c r="E41" s="17"/>
      <c r="F41" s="17">
        <f>F37*F40</f>
        <v>4235.001590948</v>
      </c>
    </row>
    <row r="42" ht="20.05" customHeight="1">
      <c r="B42" t="s" s="11">
        <v>36</v>
      </c>
      <c r="C42" s="16"/>
      <c r="D42" s="17"/>
      <c r="E42" s="17"/>
      <c r="F42" s="17">
        <f>F34/F44</f>
        <v>4.18366197183099</v>
      </c>
    </row>
    <row r="43" ht="20.05" customHeight="1">
      <c r="B43" t="s" s="11">
        <v>37</v>
      </c>
      <c r="C43" s="16"/>
      <c r="D43" s="17"/>
      <c r="E43" s="17"/>
      <c r="F43" s="17">
        <f>F41/F42</f>
        <v>1012.271454879170</v>
      </c>
    </row>
    <row r="44" ht="20.05" customHeight="1">
      <c r="B44" t="s" s="11">
        <v>38</v>
      </c>
      <c r="C44" s="16"/>
      <c r="D44" s="17"/>
      <c r="E44" s="17"/>
      <c r="F44" s="17">
        <f>'Share price '!C74</f>
        <v>1775</v>
      </c>
    </row>
    <row r="45" ht="20.05" customHeight="1">
      <c r="B45" t="s" s="11">
        <v>39</v>
      </c>
      <c r="C45" s="16"/>
      <c r="D45" s="17"/>
      <c r="E45" s="17"/>
      <c r="F45" s="21">
        <f>F43/F44-1</f>
        <v>-0.429706222603285</v>
      </c>
    </row>
    <row r="46" ht="20.05" customHeight="1">
      <c r="B46" t="s" s="11">
        <v>40</v>
      </c>
      <c r="C46" s="16"/>
      <c r="D46" s="17"/>
      <c r="E46" s="17"/>
      <c r="F46" s="21">
        <f>'Sales'!C25/'Sales'!C21-1</f>
        <v>-0.591054480625033</v>
      </c>
    </row>
    <row r="47" ht="20.05" customHeight="1">
      <c r="B47" t="s" s="11">
        <v>41</v>
      </c>
      <c r="C47" s="16"/>
      <c r="D47" s="17"/>
      <c r="E47" s="17"/>
      <c r="F47" s="21">
        <f>('Sales'!D22+'Sales'!D23+'Sales'!D24+'Sales'!D25)/('Sales'!C22+'Sales'!C23+'Sales'!C24+'Sales'!C25)-1</f>
        <v>0.335180280298821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I29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2" customWidth="1"/>
    <col min="2" max="9" width="10.9688" style="22" customWidth="1"/>
    <col min="10" max="16384" width="16.3516" style="22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</row>
    <row r="2" ht="32.25" customHeight="1">
      <c r="B2" t="s" s="5">
        <v>1</v>
      </c>
      <c r="C2" t="s" s="5">
        <v>5</v>
      </c>
      <c r="D2" t="s" s="5">
        <v>34</v>
      </c>
      <c r="E2" t="s" s="5">
        <v>42</v>
      </c>
      <c r="F2" t="s" s="5">
        <v>43</v>
      </c>
      <c r="G2" t="s" s="5">
        <v>44</v>
      </c>
      <c r="H2" t="s" s="5">
        <v>45</v>
      </c>
      <c r="I2" t="s" s="5">
        <v>46</v>
      </c>
    </row>
    <row r="3" ht="20.25" customHeight="1">
      <c r="B3" s="23">
        <v>2016</v>
      </c>
      <c r="C3" s="24">
        <v>3368.3</v>
      </c>
      <c r="D3" s="25"/>
      <c r="E3" s="25">
        <v>108.4</v>
      </c>
      <c r="F3" s="26">
        <v>-35.4</v>
      </c>
      <c r="G3" s="27"/>
      <c r="H3" s="10">
        <f>(E3+F3-C3)/C3</f>
        <v>-0.978327346139002</v>
      </c>
      <c r="I3" s="10"/>
    </row>
    <row r="4" ht="20.05" customHeight="1">
      <c r="B4" s="28"/>
      <c r="C4" s="14">
        <v>3832.7</v>
      </c>
      <c r="D4" s="15"/>
      <c r="E4" s="15">
        <v>108.1</v>
      </c>
      <c r="F4" s="17">
        <v>55.3</v>
      </c>
      <c r="G4" s="13">
        <f>C4/C3-1</f>
        <v>0.137873704836268</v>
      </c>
      <c r="H4" s="13">
        <f>(E4+F4-C4)/C4</f>
        <v>-0.957366869308842</v>
      </c>
      <c r="I4" s="13"/>
    </row>
    <row r="5" ht="20.05" customHeight="1">
      <c r="B5" s="28"/>
      <c r="C5" s="14">
        <v>3268.5</v>
      </c>
      <c r="D5" s="15"/>
      <c r="E5" s="15">
        <v>106</v>
      </c>
      <c r="F5" s="17">
        <v>25.1</v>
      </c>
      <c r="G5" s="13">
        <f>C5/C4-1</f>
        <v>-0.147206929840582</v>
      </c>
      <c r="H5" s="13">
        <f>(E5+F5-C5)/C5</f>
        <v>-0.959889857732905</v>
      </c>
      <c r="I5" s="13"/>
    </row>
    <row r="6" ht="20.05" customHeight="1">
      <c r="B6" s="28"/>
      <c r="C6" s="14">
        <v>3208.4</v>
      </c>
      <c r="D6" s="15"/>
      <c r="E6" s="15">
        <v>95.8</v>
      </c>
      <c r="F6" s="17">
        <v>75.59999999999999</v>
      </c>
      <c r="G6" s="13">
        <f>C6/C5-1</f>
        <v>-0.018387639590026</v>
      </c>
      <c r="H6" s="13">
        <f>(E6+F6-C6)/C6</f>
        <v>-0.946577733449695</v>
      </c>
      <c r="I6" s="13"/>
    </row>
    <row r="7" ht="20.05" customHeight="1">
      <c r="B7" s="29">
        <v>2017</v>
      </c>
      <c r="C7" s="14">
        <v>3109.1</v>
      </c>
      <c r="D7" s="15"/>
      <c r="E7" s="15">
        <v>104.8</v>
      </c>
      <c r="F7" s="17">
        <v>-6.2</v>
      </c>
      <c r="G7" s="13">
        <f>C7/C6-1</f>
        <v>-0.0309500062336367</v>
      </c>
      <c r="H7" s="13">
        <f>(E7+F7-C7)/C7</f>
        <v>-0.968286642436718</v>
      </c>
      <c r="I7" s="13">
        <f>('Cashflow '!E8-'Cashflow '!C8)/'Cashflow '!C8</f>
        <v>-0.977623105444611</v>
      </c>
    </row>
    <row r="8" ht="20.05" customHeight="1">
      <c r="B8" s="28"/>
      <c r="C8" s="14">
        <v>3814.1</v>
      </c>
      <c r="D8" s="15"/>
      <c r="E8" s="15">
        <v>104.4</v>
      </c>
      <c r="F8" s="17">
        <v>77.59999999999999</v>
      </c>
      <c r="G8" s="13">
        <f>C8/C7-1</f>
        <v>0.226753722942331</v>
      </c>
      <c r="H8" s="13">
        <f>(E8+F8-C8)/C8</f>
        <v>-0.952282320862064</v>
      </c>
      <c r="I8" s="13">
        <f>('Cashflow '!E9-'Cashflow '!C9)/'Cashflow '!C9</f>
        <v>-0.836546830902329</v>
      </c>
    </row>
    <row r="9" ht="20.05" customHeight="1">
      <c r="B9" s="28"/>
      <c r="C9" s="14">
        <v>3038.3</v>
      </c>
      <c r="D9" s="15"/>
      <c r="E9" s="15">
        <v>104.5</v>
      </c>
      <c r="F9" s="17">
        <v>-1</v>
      </c>
      <c r="G9" s="13">
        <f>C9/C8-1</f>
        <v>-0.203403161951706</v>
      </c>
      <c r="H9" s="13">
        <f>(E9+F9-C9)/C9</f>
        <v>-0.965934897804693</v>
      </c>
      <c r="I9" s="13">
        <f>('Cashflow '!E10-'Cashflow '!C10)/'Cashflow '!C10</f>
        <v>-1.13531559385587</v>
      </c>
    </row>
    <row r="10" ht="20.05" customHeight="1">
      <c r="B10" s="28"/>
      <c r="C10" s="14">
        <v>3072.1</v>
      </c>
      <c r="D10" s="15"/>
      <c r="E10" s="15">
        <v>106.4</v>
      </c>
      <c r="F10" s="17">
        <v>-261.8</v>
      </c>
      <c r="G10" s="13">
        <f>C10/C9-1</f>
        <v>0.0111246420695784</v>
      </c>
      <c r="H10" s="13">
        <f>(E10+F10-C10)/C10</f>
        <v>-1.05058429087595</v>
      </c>
      <c r="I10" s="13">
        <f>('Cashflow '!E11-'Cashflow '!C11)/'Cashflow '!C11</f>
        <v>-0.913831757481236</v>
      </c>
    </row>
    <row r="11" ht="20.05" customHeight="1">
      <c r="B11" s="29">
        <v>2018</v>
      </c>
      <c r="C11" s="14">
        <v>3044.5</v>
      </c>
      <c r="D11" s="15"/>
      <c r="E11" s="15">
        <v>110</v>
      </c>
      <c r="F11" s="17">
        <v>-4.1</v>
      </c>
      <c r="G11" s="13">
        <f>C11/C10-1</f>
        <v>-0.00898408254939618</v>
      </c>
      <c r="H11" s="13">
        <f>(E11+F11-C11)/C11</f>
        <v>-0.96521596321235</v>
      </c>
      <c r="I11" s="13">
        <f>('Cashflow '!E12-'Cashflow '!C12)/'Cashflow '!C12</f>
        <v>-0.9840236878924929</v>
      </c>
    </row>
    <row r="12" ht="20.05" customHeight="1">
      <c r="B12" s="28"/>
      <c r="C12" s="14">
        <v>3801.6</v>
      </c>
      <c r="D12" s="15"/>
      <c r="E12" s="15">
        <v>108.8</v>
      </c>
      <c r="F12" s="17">
        <v>38.4</v>
      </c>
      <c r="G12" s="13">
        <f>C12/C11-1</f>
        <v>0.248677943833142</v>
      </c>
      <c r="H12" s="13">
        <f>(E12+F12-C12)/C12</f>
        <v>-0.961279461279461</v>
      </c>
      <c r="I12" s="13">
        <f>('Cashflow '!E13-'Cashflow '!C13)/'Cashflow '!C13</f>
        <v>-0.926982046913904</v>
      </c>
    </row>
    <row r="13" ht="20.05" customHeight="1">
      <c r="B13" s="28"/>
      <c r="C13" s="14">
        <v>3003.3</v>
      </c>
      <c r="D13" s="15"/>
      <c r="E13" s="15">
        <v>105.7</v>
      </c>
      <c r="F13" s="17">
        <v>51.9</v>
      </c>
      <c r="G13" s="13">
        <f>C13/C12-1</f>
        <v>-0.20999053030303</v>
      </c>
      <c r="H13" s="13">
        <f>(E13+F13-C13)/C13</f>
        <v>-0.947524389837845</v>
      </c>
      <c r="I13" s="13">
        <f>('Cashflow '!E14-'Cashflow '!C14)/'Cashflow '!C14</f>
        <v>-1.12096689067943</v>
      </c>
    </row>
    <row r="14" ht="20.05" customHeight="1">
      <c r="B14" s="28"/>
      <c r="C14" s="14">
        <v>3121</v>
      </c>
      <c r="D14" s="15"/>
      <c r="E14" s="15">
        <v>115.2</v>
      </c>
      <c r="F14" s="17">
        <v>-1336.4</v>
      </c>
      <c r="G14" s="13">
        <f>C14/C13-1</f>
        <v>0.0391902240868378</v>
      </c>
      <c r="H14" s="13">
        <f>(E14+F14-C14)/C14</f>
        <v>-1.39128484460109</v>
      </c>
      <c r="I14" s="13">
        <f>('Cashflow '!E15-'Cashflow '!C15)/'Cashflow '!C15</f>
        <v>-0.839101676665128</v>
      </c>
    </row>
    <row r="15" ht="20.05" customHeight="1">
      <c r="B15" s="29">
        <v>2019</v>
      </c>
      <c r="C15" s="14">
        <v>3059.8</v>
      </c>
      <c r="D15" s="15"/>
      <c r="E15" s="15">
        <v>113.3</v>
      </c>
      <c r="F15" s="17">
        <v>-3.5</v>
      </c>
      <c r="G15" s="13">
        <f>C15/C14-1</f>
        <v>-0.0196090996475489</v>
      </c>
      <c r="H15" s="13">
        <f>(E15+F15-C15)/C15</f>
        <v>-0.964115301653703</v>
      </c>
      <c r="I15" s="13">
        <f>('Cashflow '!E16-'Cashflow '!C16)/'Cashflow '!C16</f>
        <v>-1.06215746119261</v>
      </c>
    </row>
    <row r="16" ht="20.05" customHeight="1">
      <c r="B16" s="28"/>
      <c r="C16" s="14">
        <v>3612.8</v>
      </c>
      <c r="D16" s="15"/>
      <c r="E16" s="15">
        <v>33.8</v>
      </c>
      <c r="F16" s="17">
        <v>11.4</v>
      </c>
      <c r="G16" s="13">
        <f>C16/C15-1</f>
        <v>0.180730766716779</v>
      </c>
      <c r="H16" s="13">
        <f>(E16+F16-C16)/C16</f>
        <v>-0.987488928255093</v>
      </c>
      <c r="I16" s="13">
        <f>('Cashflow '!E17-'Cashflow '!C17)/'Cashflow '!C17</f>
        <v>-1.00541793579342</v>
      </c>
    </row>
    <row r="17" ht="20.05" customHeight="1">
      <c r="B17" s="28"/>
      <c r="C17" s="14">
        <v>2813.3</v>
      </c>
      <c r="D17" s="15"/>
      <c r="E17" s="15">
        <v>66.5</v>
      </c>
      <c r="F17" s="17">
        <v>-14.6</v>
      </c>
      <c r="G17" s="13">
        <f>C17/C16-1</f>
        <v>-0.221296501328609</v>
      </c>
      <c r="H17" s="13">
        <f>(E17+F17-C17)/C17</f>
        <v>-0.981551914122205</v>
      </c>
      <c r="I17" s="13">
        <f>('Cashflow '!E18-'Cashflow '!C18)/'Cashflow '!C18</f>
        <v>-1.00576099089043</v>
      </c>
    </row>
    <row r="18" ht="20.05" customHeight="1">
      <c r="B18" s="28"/>
      <c r="C18" s="14">
        <v>2781.9</v>
      </c>
      <c r="D18" s="15"/>
      <c r="E18" s="15">
        <v>5.2</v>
      </c>
      <c r="F18" s="17">
        <v>77.3</v>
      </c>
      <c r="G18" s="13">
        <f>C18/C17-1</f>
        <v>-0.0111612696832901</v>
      </c>
      <c r="H18" s="13">
        <f>(E18+F18-C18)/C18</f>
        <v>-0.9703440094899169</v>
      </c>
      <c r="I18" s="13">
        <f>('Cashflow '!E19-'Cashflow '!C19)/'Cashflow '!C19</f>
        <v>-0.913743383829166</v>
      </c>
    </row>
    <row r="19" ht="20.05" customHeight="1">
      <c r="B19" s="29">
        <v>2020</v>
      </c>
      <c r="C19" s="14">
        <v>2600.6</v>
      </c>
      <c r="D19" s="15"/>
      <c r="E19" s="15">
        <v>110.5</v>
      </c>
      <c r="F19" s="17">
        <v>-43.6</v>
      </c>
      <c r="G19" s="13">
        <f>C19/C18-1</f>
        <v>-0.0651712858118552</v>
      </c>
      <c r="H19" s="13">
        <f>(E19+F19-C19)/C19</f>
        <v>-0.974275167269092</v>
      </c>
      <c r="I19" s="13">
        <f>('Cashflow '!E20-'Cashflow '!C20)/'Cashflow '!C20</f>
        <v>-0.995166586724717</v>
      </c>
    </row>
    <row r="20" ht="20.05" customHeight="1">
      <c r="B20" s="28"/>
      <c r="C20" s="14">
        <v>2355.1</v>
      </c>
      <c r="D20" s="15"/>
      <c r="E20" s="15">
        <v>111.9</v>
      </c>
      <c r="F20" s="17">
        <v>-158.5</v>
      </c>
      <c r="G20" s="13">
        <f>C20/C19-1</f>
        <v>-0.0944012920095363</v>
      </c>
      <c r="H20" s="13">
        <f>(E20+F20-C20)/C20</f>
        <v>-1.01978684556919</v>
      </c>
      <c r="I20" s="13">
        <f>('Cashflow '!E21-'Cashflow '!C21)/'Cashflow '!C21</f>
        <v>-1.13283878202363</v>
      </c>
    </row>
    <row r="21" ht="20.05" customHeight="1">
      <c r="B21" s="28"/>
      <c r="C21" s="14">
        <v>1907.1</v>
      </c>
      <c r="D21" s="15"/>
      <c r="E21" s="15">
        <v>100.4</v>
      </c>
      <c r="F21" s="17">
        <v>-137.4</v>
      </c>
      <c r="G21" s="13">
        <f>C21/C20-1</f>
        <v>-0.190225468132988</v>
      </c>
      <c r="H21" s="13">
        <f>(E21+F21-C21)/C21</f>
        <v>-1.01940118504536</v>
      </c>
      <c r="I21" s="13">
        <f>('Cashflow '!E22-'Cashflow '!C22)/'Cashflow '!C22</f>
        <v>-1.13473392233409</v>
      </c>
    </row>
    <row r="22" ht="20.05" customHeight="1">
      <c r="B22" s="28"/>
      <c r="C22" s="14">
        <f>8893.8-SUM(C19:C21)</f>
        <v>2031</v>
      </c>
      <c r="D22" s="15">
        <v>2307.591</v>
      </c>
      <c r="E22" s="15">
        <f>481.8-SUM(E19:E21)</f>
        <v>159</v>
      </c>
      <c r="F22" s="17">
        <f>-1214.6-SUM(F19:F21)</f>
        <v>-875.1</v>
      </c>
      <c r="G22" s="13">
        <f>C22/C21-1</f>
        <v>0.0649677520843165</v>
      </c>
      <c r="H22" s="13">
        <f>(E22+F22-C22)/C22</f>
        <v>-1.35258493353028</v>
      </c>
      <c r="I22" s="13">
        <f>('Cashflow '!E23-'Cashflow '!C23)/'Cashflow '!C23</f>
        <v>-0.8551229611675</v>
      </c>
    </row>
    <row r="23" ht="20.05" customHeight="1">
      <c r="B23" s="29">
        <v>2021</v>
      </c>
      <c r="C23" s="14">
        <v>1763.1</v>
      </c>
      <c r="D23" s="15">
        <v>2234.1</v>
      </c>
      <c r="E23" s="15">
        <v>72.59999999999999</v>
      </c>
      <c r="F23" s="17">
        <v>-1.6</v>
      </c>
      <c r="G23" s="13">
        <f>C23/C22-1</f>
        <v>-0.131905465288035</v>
      </c>
      <c r="H23" s="13">
        <f>(E23+F23-C23)/C23</f>
        <v>-0.959730020985764</v>
      </c>
      <c r="I23" s="13">
        <f>('Cashflow '!E24-'Cashflow '!C24)/'Cashflow '!C24</f>
        <v>-1.04128214929285</v>
      </c>
    </row>
    <row r="24" ht="20.05" customHeight="1">
      <c r="B24" s="28"/>
      <c r="C24" s="14">
        <f>3667.9-C23</f>
        <v>1904.8</v>
      </c>
      <c r="D24" s="15">
        <v>2203.875</v>
      </c>
      <c r="E24" s="15">
        <f>171.1-E23</f>
        <v>98.5</v>
      </c>
      <c r="F24" s="17">
        <f>-550.9-F23</f>
        <v>-549.3</v>
      </c>
      <c r="G24" s="13">
        <f>C24/C23-1</f>
        <v>0.0803698031875674</v>
      </c>
      <c r="H24" s="13">
        <f>(E24+F24-C24)/C24</f>
        <v>-1.23666526669467</v>
      </c>
      <c r="I24" s="13">
        <f>('Cashflow '!E25-'Cashflow '!C25)/'Cashflow '!C25</f>
        <v>-1.42724881641241</v>
      </c>
    </row>
    <row r="25" ht="20.05" customHeight="1">
      <c r="B25" s="28"/>
      <c r="C25" s="14">
        <f>4447.8-SUM(C23:C24)</f>
        <v>779.9</v>
      </c>
      <c r="D25" s="15">
        <v>1904.8</v>
      </c>
      <c r="E25" s="15">
        <f>263.4-SUM(E23:E24)</f>
        <v>92.3</v>
      </c>
      <c r="F25" s="17">
        <f>-747.4-SUM(F23:F24)</f>
        <v>-196.5</v>
      </c>
      <c r="G25" s="13">
        <f>C25/C24-1</f>
        <v>-0.590560688786224</v>
      </c>
      <c r="H25" s="13">
        <f>(E25+F25-C25)/C25</f>
        <v>-1.13360687267598</v>
      </c>
      <c r="I25" s="13">
        <f>('Cashflow '!E26-'Cashflow '!C26)/'Cashflow '!C26</f>
        <v>-1.01303052866716</v>
      </c>
    </row>
    <row r="26" ht="20.05" customHeight="1">
      <c r="B26" s="28"/>
      <c r="C26" s="14"/>
      <c r="D26" s="15">
        <f>'Model'!C6</f>
        <v>1949.75</v>
      </c>
      <c r="E26" s="15"/>
      <c r="F26" s="17"/>
      <c r="G26" s="30"/>
      <c r="H26" s="13">
        <f>'Model'!C7</f>
        <v>-0.959730020985764</v>
      </c>
      <c r="I26" s="13"/>
    </row>
    <row r="27" ht="20.05" customHeight="1">
      <c r="B27" s="29">
        <v>2022</v>
      </c>
      <c r="C27" s="14"/>
      <c r="D27" s="15">
        <f>'Model'!D6</f>
        <v>1910.755</v>
      </c>
      <c r="E27" s="15"/>
      <c r="F27" s="17"/>
      <c r="G27" s="30"/>
      <c r="H27" s="13"/>
      <c r="I27" s="13"/>
    </row>
    <row r="28" ht="20.05" customHeight="1">
      <c r="B28" s="28"/>
      <c r="C28" s="14"/>
      <c r="D28" s="15">
        <f>'Model'!E6</f>
        <v>2292.906</v>
      </c>
      <c r="E28" s="15"/>
      <c r="F28" s="17"/>
      <c r="G28" s="30"/>
      <c r="H28" s="13"/>
      <c r="I28" s="13"/>
    </row>
    <row r="29" ht="20.05" customHeight="1">
      <c r="B29" s="28"/>
      <c r="C29" s="14"/>
      <c r="D29" s="15">
        <f>'Model'!F6</f>
        <v>2751.4872</v>
      </c>
      <c r="E29" s="15"/>
      <c r="F29" s="17"/>
      <c r="G29" s="30"/>
      <c r="H29" s="13"/>
      <c r="I29" s="13"/>
    </row>
  </sheetData>
  <mergeCells count="1">
    <mergeCell ref="B1:I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J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31" customWidth="1"/>
    <col min="2" max="2" width="9.5625" style="31" customWidth="1"/>
    <col min="3" max="10" width="10.3672" style="31" customWidth="1"/>
    <col min="11" max="16384" width="16.3516" style="31" customWidth="1"/>
  </cols>
  <sheetData>
    <row r="1" ht="13.85" customHeight="1"/>
    <row r="2" ht="27.65" customHeight="1">
      <c r="B2" t="s" s="2">
        <v>32</v>
      </c>
      <c r="C2" s="2"/>
      <c r="D2" s="2"/>
      <c r="E2" s="2"/>
      <c r="F2" s="2"/>
      <c r="G2" s="2"/>
      <c r="H2" s="2"/>
      <c r="I2" s="2"/>
      <c r="J2" s="2"/>
    </row>
    <row r="3" ht="46.75" customHeight="1">
      <c r="B3" t="s" s="5">
        <v>1</v>
      </c>
      <c r="C3" t="s" s="5">
        <v>47</v>
      </c>
      <c r="D3" t="s" s="5">
        <v>10</v>
      </c>
      <c r="E3" t="s" s="5">
        <v>8</v>
      </c>
      <c r="F3" t="s" s="5">
        <v>9</v>
      </c>
      <c r="G3" t="s" s="5">
        <v>11</v>
      </c>
      <c r="H3" t="s" s="5">
        <v>48</v>
      </c>
      <c r="I3" t="s" s="5">
        <v>32</v>
      </c>
      <c r="J3" t="s" s="5">
        <v>49</v>
      </c>
    </row>
    <row r="4" ht="21.4" customHeight="1">
      <c r="B4" s="23">
        <v>2016</v>
      </c>
      <c r="C4" s="32">
        <v>3402.8</v>
      </c>
      <c r="D4" s="26"/>
      <c r="E4" s="26">
        <v>107.7</v>
      </c>
      <c r="F4" s="26">
        <v>-107</v>
      </c>
      <c r="G4" s="26">
        <v>-100</v>
      </c>
      <c r="H4" s="33">
        <f>E4+F4</f>
        <v>0.7</v>
      </c>
      <c r="I4" s="33"/>
      <c r="J4" s="26">
        <f>-(G4)</f>
        <v>100</v>
      </c>
    </row>
    <row r="5" ht="21.2" customHeight="1">
      <c r="B5" s="28"/>
      <c r="C5" s="16">
        <v>3889.5</v>
      </c>
      <c r="D5" s="17"/>
      <c r="E5" s="17">
        <v>-95.3</v>
      </c>
      <c r="F5" s="17">
        <v>-86.40000000000001</v>
      </c>
      <c r="G5" s="17">
        <v>0</v>
      </c>
      <c r="H5" s="34">
        <f>E5+F5</f>
        <v>-181.7</v>
      </c>
      <c r="I5" s="34"/>
      <c r="J5" s="17">
        <f>-(G5)+J4</f>
        <v>100</v>
      </c>
    </row>
    <row r="6" ht="21.2" customHeight="1">
      <c r="B6" s="28"/>
      <c r="C6" s="16">
        <v>3279.1</v>
      </c>
      <c r="D6" s="17"/>
      <c r="E6" s="17">
        <v>113.6</v>
      </c>
      <c r="F6" s="17">
        <v>1455</v>
      </c>
      <c r="G6" s="17">
        <v>0</v>
      </c>
      <c r="H6" s="34">
        <f>E6+F6</f>
        <v>1568.6</v>
      </c>
      <c r="I6" s="34"/>
      <c r="J6" s="17">
        <f>-(G6)+J5</f>
        <v>100</v>
      </c>
    </row>
    <row r="7" ht="21.2" customHeight="1">
      <c r="B7" s="28"/>
      <c r="C7" s="16">
        <v>3479.3</v>
      </c>
      <c r="D7" s="17"/>
      <c r="E7" s="17">
        <v>289.8</v>
      </c>
      <c r="F7" s="17">
        <v>-1542</v>
      </c>
      <c r="G7" s="17">
        <v>0</v>
      </c>
      <c r="H7" s="34">
        <f>E7+F7</f>
        <v>-1252.2</v>
      </c>
      <c r="I7" s="34"/>
      <c r="J7" s="17">
        <f>-(G7)+J6</f>
        <v>100</v>
      </c>
    </row>
    <row r="8" ht="21.2" customHeight="1">
      <c r="B8" s="29">
        <v>2017</v>
      </c>
      <c r="C8" s="16">
        <v>3074.6</v>
      </c>
      <c r="D8" s="17"/>
      <c r="E8" s="17">
        <v>68.8</v>
      </c>
      <c r="F8" s="17">
        <v>-171.3</v>
      </c>
      <c r="G8" s="17">
        <v>0</v>
      </c>
      <c r="H8" s="34">
        <f>E8+F8</f>
        <v>-102.5</v>
      </c>
      <c r="I8" s="17">
        <f>AVERAGE(H5:H8)</f>
        <v>8.050000000000001</v>
      </c>
      <c r="J8" s="17">
        <f>-(G8)+J7</f>
        <v>100</v>
      </c>
    </row>
    <row r="9" ht="21.2" customHeight="1">
      <c r="B9" s="28"/>
      <c r="C9" s="16">
        <v>3791.3</v>
      </c>
      <c r="D9" s="17"/>
      <c r="E9" s="17">
        <v>619.7</v>
      </c>
      <c r="F9" s="17">
        <v>-115</v>
      </c>
      <c r="G9" s="17">
        <v>0</v>
      </c>
      <c r="H9" s="34">
        <f>E9+F9</f>
        <v>504.7</v>
      </c>
      <c r="I9" s="17">
        <f>AVERAGE(H6:H9)</f>
        <v>179.65</v>
      </c>
      <c r="J9" s="17">
        <f>-(G9)+J8</f>
        <v>100</v>
      </c>
    </row>
    <row r="10" ht="21.2" customHeight="1">
      <c r="B10" s="28"/>
      <c r="C10" s="16">
        <v>3040.3</v>
      </c>
      <c r="D10" s="17"/>
      <c r="E10" s="17">
        <v>-411.4</v>
      </c>
      <c r="F10" s="17">
        <v>-113.7</v>
      </c>
      <c r="G10" s="17">
        <v>0</v>
      </c>
      <c r="H10" s="34">
        <f>E10+F10</f>
        <v>-525.1</v>
      </c>
      <c r="I10" s="17">
        <f>AVERAGE(H7:H10)</f>
        <v>-343.775</v>
      </c>
      <c r="J10" s="17">
        <f>-(G10)+J9</f>
        <v>100</v>
      </c>
    </row>
    <row r="11" ht="21.2" customHeight="1">
      <c r="B11" s="28"/>
      <c r="C11" s="16">
        <v>3077.7</v>
      </c>
      <c r="D11" s="17"/>
      <c r="E11" s="17">
        <v>265.2</v>
      </c>
      <c r="F11" s="17">
        <v>-99.09999999999999</v>
      </c>
      <c r="G11" s="17">
        <v>0</v>
      </c>
      <c r="H11" s="34">
        <f>E11+F11</f>
        <v>166.1</v>
      </c>
      <c r="I11" s="17">
        <f>AVERAGE(H8:H11)</f>
        <v>10.8</v>
      </c>
      <c r="J11" s="17">
        <f>-(G11)+J10</f>
        <v>100</v>
      </c>
    </row>
    <row r="12" ht="21.2" customHeight="1">
      <c r="B12" s="29">
        <v>2018</v>
      </c>
      <c r="C12" s="16">
        <v>3073.3</v>
      </c>
      <c r="D12" s="17"/>
      <c r="E12" s="17">
        <v>49.1</v>
      </c>
      <c r="F12" s="17">
        <v>-78.7</v>
      </c>
      <c r="G12" s="17">
        <v>0</v>
      </c>
      <c r="H12" s="34">
        <f>E12+F12</f>
        <v>-29.6</v>
      </c>
      <c r="I12" s="17">
        <f>AVERAGE(H9:H12)</f>
        <v>29.025</v>
      </c>
      <c r="J12" s="17">
        <f>-(G12)+J11</f>
        <v>100</v>
      </c>
    </row>
    <row r="13" ht="21.2" customHeight="1">
      <c r="B13" s="28"/>
      <c r="C13" s="16">
        <v>3815.5</v>
      </c>
      <c r="D13" s="17"/>
      <c r="E13" s="17">
        <v>278.6</v>
      </c>
      <c r="F13" s="17">
        <v>-66.90000000000001</v>
      </c>
      <c r="G13" s="17">
        <v>0</v>
      </c>
      <c r="H13" s="34">
        <f>E13+F13</f>
        <v>211.7</v>
      </c>
      <c r="I13" s="17">
        <f>AVERAGE(H10:H13)</f>
        <v>-44.225</v>
      </c>
      <c r="J13" s="17">
        <f>-(G13)+J12</f>
        <v>100</v>
      </c>
    </row>
    <row r="14" ht="21.2" customHeight="1">
      <c r="B14" s="28"/>
      <c r="C14" s="16">
        <v>2842.1</v>
      </c>
      <c r="D14" s="17"/>
      <c r="E14" s="17">
        <v>-343.8</v>
      </c>
      <c r="F14" s="17">
        <v>-48.7</v>
      </c>
      <c r="G14" s="17">
        <v>0</v>
      </c>
      <c r="H14" s="34">
        <f>E14+F14</f>
        <v>-392.5</v>
      </c>
      <c r="I14" s="17">
        <f>AVERAGE(H11:H14)</f>
        <v>-11.075</v>
      </c>
      <c r="J14" s="17">
        <f>-(G14)+J13</f>
        <v>100</v>
      </c>
    </row>
    <row r="15" ht="21.2" customHeight="1">
      <c r="B15" s="28"/>
      <c r="C15" s="16">
        <v>3250.5</v>
      </c>
      <c r="D15" s="17"/>
      <c r="E15" s="17">
        <v>523</v>
      </c>
      <c r="F15" s="17">
        <v>-39.8</v>
      </c>
      <c r="G15" s="17">
        <v>0</v>
      </c>
      <c r="H15" s="34">
        <f>E15+F15</f>
        <v>483.2</v>
      </c>
      <c r="I15" s="17">
        <f>AVERAGE(H12:H15)</f>
        <v>68.2</v>
      </c>
      <c r="J15" s="17">
        <f>-(G15)+J14</f>
        <v>100</v>
      </c>
    </row>
    <row r="16" ht="21.2" customHeight="1">
      <c r="B16" s="29">
        <v>2019</v>
      </c>
      <c r="C16" s="16">
        <v>3047.1</v>
      </c>
      <c r="D16" s="17"/>
      <c r="E16" s="17">
        <v>-189.4</v>
      </c>
      <c r="F16" s="17">
        <v>-66.7</v>
      </c>
      <c r="G16" s="17">
        <v>0</v>
      </c>
      <c r="H16" s="34">
        <f>E16+F16</f>
        <v>-256.1</v>
      </c>
      <c r="I16" s="17">
        <f>AVERAGE(H13:H16)</f>
        <v>11.575</v>
      </c>
      <c r="J16" s="17">
        <f>-(G16)+J15</f>
        <v>100</v>
      </c>
    </row>
    <row r="17" ht="21.2" customHeight="1">
      <c r="B17" s="28"/>
      <c r="C17" s="16">
        <v>3709.9</v>
      </c>
      <c r="D17" s="17"/>
      <c r="E17" s="17">
        <v>-20.1</v>
      </c>
      <c r="F17" s="17">
        <v>-61.7</v>
      </c>
      <c r="G17" s="17">
        <v>0</v>
      </c>
      <c r="H17" s="34">
        <f>E17+F17</f>
        <v>-81.8</v>
      </c>
      <c r="I17" s="17">
        <f>AVERAGE(H14:H17)</f>
        <v>-61.8</v>
      </c>
      <c r="J17" s="17">
        <f>-(G17)+J16</f>
        <v>100</v>
      </c>
    </row>
    <row r="18" ht="21.2" customHeight="1">
      <c r="B18" s="28"/>
      <c r="C18" s="16">
        <v>2777.3</v>
      </c>
      <c r="D18" s="17"/>
      <c r="E18" s="17">
        <v>-16</v>
      </c>
      <c r="F18" s="17">
        <v>-73.09999999999999</v>
      </c>
      <c r="G18" s="17">
        <v>0</v>
      </c>
      <c r="H18" s="34">
        <f>E18+F18</f>
        <v>-89.09999999999999</v>
      </c>
      <c r="I18" s="17">
        <f>AVERAGE(H15:H18)</f>
        <v>14.05</v>
      </c>
      <c r="J18" s="17">
        <f>-(G18)+J17</f>
        <v>100</v>
      </c>
    </row>
    <row r="19" ht="21.2" customHeight="1">
      <c r="B19" s="28"/>
      <c r="C19" s="16">
        <v>2739.5</v>
      </c>
      <c r="D19" s="17"/>
      <c r="E19" s="17">
        <v>236.3</v>
      </c>
      <c r="F19" s="17">
        <v>-140.4</v>
      </c>
      <c r="G19" s="17">
        <v>0</v>
      </c>
      <c r="H19" s="34">
        <f>E19+F19</f>
        <v>95.90000000000001</v>
      </c>
      <c r="I19" s="17">
        <f>AVERAGE(H16:H19)</f>
        <v>-82.77500000000001</v>
      </c>
      <c r="J19" s="17">
        <f>-(G19)+J18</f>
        <v>100</v>
      </c>
    </row>
    <row r="20" ht="21.2" customHeight="1">
      <c r="B20" s="29">
        <v>2020</v>
      </c>
      <c r="C20" s="16">
        <v>2710.3</v>
      </c>
      <c r="D20" s="17"/>
      <c r="E20" s="17">
        <v>13.1</v>
      </c>
      <c r="F20" s="17">
        <v>-226.5</v>
      </c>
      <c r="G20" s="17">
        <v>0</v>
      </c>
      <c r="H20" s="34">
        <f>E20+F20</f>
        <v>-213.4</v>
      </c>
      <c r="I20" s="17">
        <f>AVERAGE(H17:H20)</f>
        <v>-72.09999999999999</v>
      </c>
      <c r="J20" s="17">
        <f>-(G20)+J19</f>
        <v>100</v>
      </c>
    </row>
    <row r="21" ht="21.2" customHeight="1">
      <c r="B21" s="28"/>
      <c r="C21" s="16">
        <v>2318.6</v>
      </c>
      <c r="D21" s="17"/>
      <c r="E21" s="17">
        <v>-308</v>
      </c>
      <c r="F21" s="17">
        <v>-187.8</v>
      </c>
      <c r="G21" s="17">
        <v>200</v>
      </c>
      <c r="H21" s="34">
        <f>E21+F21</f>
        <v>-495.8</v>
      </c>
      <c r="I21" s="17">
        <f>AVERAGE(H18:H21)</f>
        <v>-175.6</v>
      </c>
      <c r="J21" s="17">
        <f>-(G21)+J20</f>
        <v>-100</v>
      </c>
    </row>
    <row r="22" ht="21.2" customHeight="1">
      <c r="B22" s="28"/>
      <c r="C22" s="16">
        <v>1946.8</v>
      </c>
      <c r="D22" s="17"/>
      <c r="E22" s="17">
        <v>-262.3</v>
      </c>
      <c r="F22" s="17">
        <v>325.3</v>
      </c>
      <c r="G22" s="17">
        <v>50</v>
      </c>
      <c r="H22" s="34">
        <f>E22+F22</f>
        <v>63</v>
      </c>
      <c r="I22" s="17">
        <f>AVERAGE(H19:H22)</f>
        <v>-137.575</v>
      </c>
      <c r="J22" s="17">
        <f>-(G22)+J21</f>
        <v>-150</v>
      </c>
    </row>
    <row r="23" ht="21.2" customHeight="1">
      <c r="B23" s="28"/>
      <c r="C23" s="16">
        <f>8956-SUM(C20:C22)</f>
        <v>1980.3</v>
      </c>
      <c r="D23" s="17"/>
      <c r="E23" s="17">
        <f>-270.3-SUM(E20:E22)</f>
        <v>286.9</v>
      </c>
      <c r="F23" s="17">
        <f>-161.6-SUM(F20:F22)</f>
        <v>-72.59999999999999</v>
      </c>
      <c r="G23" s="17">
        <f>250.6-SUM(G20:G22)</f>
        <v>0.6</v>
      </c>
      <c r="H23" s="17">
        <f>E23+F23</f>
        <v>214.3</v>
      </c>
      <c r="I23" s="17">
        <f>AVERAGE(H20:H23)</f>
        <v>-107.975</v>
      </c>
      <c r="J23" s="17">
        <f>-(G23)+J22</f>
        <v>-150.6</v>
      </c>
    </row>
    <row r="24" ht="21.2" customHeight="1">
      <c r="B24" s="29">
        <v>2021</v>
      </c>
      <c r="C24" s="16">
        <v>1831.3</v>
      </c>
      <c r="D24" s="17">
        <v>-53</v>
      </c>
      <c r="E24" s="17">
        <v>-75.59999999999999</v>
      </c>
      <c r="F24" s="17">
        <v>-47.9</v>
      </c>
      <c r="G24" s="17">
        <f>267.5</f>
        <v>267.5</v>
      </c>
      <c r="H24" s="17">
        <f>E24+F24+D24</f>
        <v>-176.5</v>
      </c>
      <c r="I24" s="17">
        <f>AVERAGE(H21:H24)</f>
        <v>-98.75</v>
      </c>
      <c r="J24" s="17">
        <f>-(G24)+J23</f>
        <v>-418.1</v>
      </c>
    </row>
    <row r="25" ht="21.2" customHeight="1">
      <c r="B25" s="28"/>
      <c r="C25" s="16">
        <f>3732.3-C24</f>
        <v>1901</v>
      </c>
      <c r="D25" s="17">
        <v>-53</v>
      </c>
      <c r="E25" s="17">
        <f>-887.8-E24</f>
        <v>-812.2</v>
      </c>
      <c r="F25" s="17">
        <f>-113.2-F24</f>
        <v>-65.3</v>
      </c>
      <c r="G25" s="17">
        <f>878.7-G24</f>
        <v>611.2</v>
      </c>
      <c r="H25" s="17">
        <f>E25+F25+D25</f>
        <v>-930.5</v>
      </c>
      <c r="I25" s="17">
        <f>AVERAGE(H22:H25)</f>
        <v>-207.425</v>
      </c>
      <c r="J25" s="17">
        <f>-(G25)+J24</f>
        <v>-1029.3</v>
      </c>
    </row>
    <row r="26" ht="21.2" customHeight="1">
      <c r="B26" s="28"/>
      <c r="C26" s="16">
        <f>4538.1-SUM(C24:C25)</f>
        <v>805.8</v>
      </c>
      <c r="D26" s="17">
        <f>-153.3-SUM(D24:D25)</f>
        <v>-47.3</v>
      </c>
      <c r="E26" s="17">
        <f>-898.3-SUM(E24:E25)</f>
        <v>-10.5</v>
      </c>
      <c r="F26" s="17">
        <f>169.3-SUM(F24:F25)</f>
        <v>282.5</v>
      </c>
      <c r="G26" s="17">
        <f>732.1-SUM(G24:G25)</f>
        <v>-146.6</v>
      </c>
      <c r="H26" s="17">
        <f>E26+F26+D26</f>
        <v>224.7</v>
      </c>
      <c r="I26" s="17">
        <f>AVERAGE(H23:H26)</f>
        <v>-167</v>
      </c>
      <c r="J26" s="17">
        <f>-(G26)+J25</f>
        <v>-882.7</v>
      </c>
    </row>
    <row r="27" ht="21.2" customHeight="1">
      <c r="B27" s="28"/>
      <c r="C27" s="16"/>
      <c r="D27" s="17"/>
      <c r="E27" s="17"/>
      <c r="F27" s="17"/>
      <c r="G27" s="17"/>
      <c r="H27" s="17"/>
      <c r="I27" s="17">
        <f>SUM('Model'!F9:F11)</f>
        <v>15.602331801940</v>
      </c>
      <c r="J27" s="17">
        <f>'Model'!F33</f>
        <v>-715.6999363620801</v>
      </c>
    </row>
  </sheetData>
  <mergeCells count="1">
    <mergeCell ref="B2:J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5" customWidth="1"/>
    <col min="2" max="12" width="9.21875" style="35" customWidth="1"/>
    <col min="13" max="16384" width="16.3516" style="35" customWidth="1"/>
  </cols>
  <sheetData>
    <row r="1" ht="7.5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5">
        <v>1</v>
      </c>
      <c r="C3" t="s" s="5">
        <v>50</v>
      </c>
      <c r="D3" t="s" s="5">
        <v>51</v>
      </c>
      <c r="E3" t="s" s="5">
        <v>22</v>
      </c>
      <c r="F3" t="s" s="5">
        <v>23</v>
      </c>
      <c r="G3" t="s" s="5">
        <v>52</v>
      </c>
      <c r="H3" t="s" s="5">
        <v>12</v>
      </c>
      <c r="I3" t="s" s="5">
        <v>13</v>
      </c>
      <c r="J3" t="s" s="5">
        <v>53</v>
      </c>
      <c r="K3" t="s" s="5">
        <v>26</v>
      </c>
      <c r="L3" t="s" s="5">
        <v>34</v>
      </c>
    </row>
    <row r="4" ht="20.25" customHeight="1">
      <c r="B4" s="23">
        <v>2016</v>
      </c>
      <c r="C4" s="32">
        <v>100</v>
      </c>
      <c r="D4" s="26">
        <v>8103</v>
      </c>
      <c r="E4" s="26">
        <f>D4-C4</f>
        <v>8003</v>
      </c>
      <c r="F4" s="26">
        <v>2043</v>
      </c>
      <c r="G4" s="26">
        <v>0</v>
      </c>
      <c r="H4" s="26">
        <v>2923</v>
      </c>
      <c r="I4" s="26">
        <v>5180</v>
      </c>
      <c r="J4" s="26">
        <f>H4+I4-C4-E4</f>
        <v>0</v>
      </c>
      <c r="K4" s="26">
        <f>C4-H4</f>
        <v>-2823</v>
      </c>
      <c r="L4" s="26"/>
    </row>
    <row r="5" ht="20.05" customHeight="1">
      <c r="B5" s="28"/>
      <c r="C5" s="16">
        <v>143</v>
      </c>
      <c r="D5" s="17">
        <v>8709</v>
      </c>
      <c r="E5" s="17">
        <f>D5-C5</f>
        <v>8566</v>
      </c>
      <c r="F5" s="17">
        <v>2172</v>
      </c>
      <c r="G5" s="17">
        <v>0</v>
      </c>
      <c r="H5" s="17">
        <v>3531</v>
      </c>
      <c r="I5" s="17">
        <v>5178</v>
      </c>
      <c r="J5" s="17">
        <f>H5+I5-C5-E5</f>
        <v>0</v>
      </c>
      <c r="K5" s="17">
        <f>C5-H5</f>
        <v>-3388</v>
      </c>
      <c r="L5" s="17"/>
    </row>
    <row r="6" ht="20.05" customHeight="1">
      <c r="B6" s="28"/>
      <c r="C6" s="16">
        <v>99</v>
      </c>
      <c r="D6" s="17">
        <v>7965</v>
      </c>
      <c r="E6" s="17">
        <f>D6-C6</f>
        <v>7866</v>
      </c>
      <c r="F6" s="17">
        <v>2202</v>
      </c>
      <c r="G6" s="17">
        <v>0</v>
      </c>
      <c r="H6" s="17">
        <v>2762</v>
      </c>
      <c r="I6" s="17">
        <v>5203</v>
      </c>
      <c r="J6" s="17">
        <f>H6+I6-C6-E6</f>
        <v>0</v>
      </c>
      <c r="K6" s="17">
        <f>C6-H6</f>
        <v>-2663</v>
      </c>
      <c r="L6" s="17"/>
    </row>
    <row r="7" ht="20.05" customHeight="1">
      <c r="B7" s="28"/>
      <c r="C7" s="16">
        <v>183</v>
      </c>
      <c r="D7" s="17">
        <v>7487</v>
      </c>
      <c r="E7" s="17">
        <f>D7-C7</f>
        <v>7304</v>
      </c>
      <c r="F7" s="17">
        <v>2268</v>
      </c>
      <c r="G7" s="17">
        <v>0</v>
      </c>
      <c r="H7" s="17">
        <v>2029</v>
      </c>
      <c r="I7" s="17">
        <v>5458</v>
      </c>
      <c r="J7" s="17">
        <f>H7+I7-C7-E7</f>
        <v>0</v>
      </c>
      <c r="K7" s="17">
        <f>C7-H7</f>
        <v>-1846</v>
      </c>
      <c r="L7" s="17"/>
    </row>
    <row r="8" ht="20.05" customHeight="1">
      <c r="B8" s="29">
        <v>2017</v>
      </c>
      <c r="C8" s="16">
        <v>99</v>
      </c>
      <c r="D8" s="17">
        <v>7696</v>
      </c>
      <c r="E8" s="17">
        <f>D8-C8</f>
        <v>7597</v>
      </c>
      <c r="F8" s="17">
        <v>2355</v>
      </c>
      <c r="G8" s="17">
        <v>0</v>
      </c>
      <c r="H8" s="17">
        <v>2245</v>
      </c>
      <c r="I8" s="17">
        <v>5451</v>
      </c>
      <c r="J8" s="17">
        <f>H8+I8-C8-E8</f>
        <v>0</v>
      </c>
      <c r="K8" s="17">
        <f>C8-H8</f>
        <v>-2146</v>
      </c>
      <c r="L8" s="17"/>
    </row>
    <row r="9" ht="20.05" customHeight="1">
      <c r="B9" s="28"/>
      <c r="C9" s="16">
        <v>585</v>
      </c>
      <c r="D9" s="17">
        <v>8450</v>
      </c>
      <c r="E9" s="17">
        <f>D9-C9</f>
        <v>7865</v>
      </c>
      <c r="F9" s="17">
        <v>2417</v>
      </c>
      <c r="G9" s="17">
        <v>0</v>
      </c>
      <c r="H9" s="17">
        <v>2947</v>
      </c>
      <c r="I9" s="17">
        <v>5504</v>
      </c>
      <c r="J9" s="17">
        <f>H9+I9-C9-E9</f>
        <v>1</v>
      </c>
      <c r="K9" s="17">
        <f>C9-H9</f>
        <v>-2362</v>
      </c>
      <c r="L9" s="17"/>
    </row>
    <row r="10" ht="20.05" customHeight="1">
      <c r="B10" s="28"/>
      <c r="C10" s="16">
        <v>140</v>
      </c>
      <c r="D10" s="17">
        <v>7786</v>
      </c>
      <c r="E10" s="17">
        <f>D10-C10</f>
        <v>7646</v>
      </c>
      <c r="F10" s="17">
        <v>2469</v>
      </c>
      <c r="G10" s="17">
        <v>0</v>
      </c>
      <c r="H10" s="17">
        <v>2283</v>
      </c>
      <c r="I10" s="17">
        <v>5503</v>
      </c>
      <c r="J10" s="17">
        <f>H10+I10-C10-E10</f>
        <v>0</v>
      </c>
      <c r="K10" s="17">
        <f>C10-H10</f>
        <v>-2143</v>
      </c>
      <c r="L10" s="17"/>
    </row>
    <row r="11" ht="20.05" customHeight="1">
      <c r="B11" s="28"/>
      <c r="C11" s="16">
        <v>226</v>
      </c>
      <c r="D11" s="17">
        <v>7363</v>
      </c>
      <c r="E11" s="17">
        <f>D11-C11</f>
        <v>7137</v>
      </c>
      <c r="F11" s="17">
        <v>2538</v>
      </c>
      <c r="G11" s="17">
        <v>0</v>
      </c>
      <c r="H11" s="17">
        <v>2164</v>
      </c>
      <c r="I11" s="17">
        <v>5199</v>
      </c>
      <c r="J11" s="17">
        <f>H11+I11-C11-E11</f>
        <v>0</v>
      </c>
      <c r="K11" s="17">
        <f>C11-H11</f>
        <v>-1938</v>
      </c>
      <c r="L11" s="17"/>
    </row>
    <row r="12" ht="20.05" customHeight="1">
      <c r="B12" s="29">
        <v>2018</v>
      </c>
      <c r="C12" s="16">
        <v>197</v>
      </c>
      <c r="D12" s="17">
        <v>7697</v>
      </c>
      <c r="E12" s="17">
        <f>D12-C12</f>
        <v>7500</v>
      </c>
      <c r="F12" s="17">
        <v>2619</v>
      </c>
      <c r="G12" s="17">
        <v>0</v>
      </c>
      <c r="H12" s="17">
        <v>2502</v>
      </c>
      <c r="I12" s="17">
        <v>5195</v>
      </c>
      <c r="J12" s="17">
        <f>H12+I12-C12-E12</f>
        <v>0</v>
      </c>
      <c r="K12" s="17">
        <f>C12-H12</f>
        <v>-2305</v>
      </c>
      <c r="L12" s="17"/>
    </row>
    <row r="13" ht="20.05" customHeight="1">
      <c r="B13" s="28"/>
      <c r="C13" s="16">
        <v>454</v>
      </c>
      <c r="D13" s="17">
        <v>7806</v>
      </c>
      <c r="E13" s="17">
        <f>D13-C13</f>
        <v>7352</v>
      </c>
      <c r="F13" s="17">
        <v>2690</v>
      </c>
      <c r="G13" s="17">
        <v>0</v>
      </c>
      <c r="H13" s="17">
        <v>2574</v>
      </c>
      <c r="I13" s="17">
        <v>5232</v>
      </c>
      <c r="J13" s="17">
        <f>H13+I13-C13-E13</f>
        <v>0</v>
      </c>
      <c r="K13" s="17">
        <f>C13-H13</f>
        <v>-2120</v>
      </c>
      <c r="L13" s="17"/>
    </row>
    <row r="14" ht="20.05" customHeight="1">
      <c r="B14" s="28"/>
      <c r="C14" s="16">
        <v>186</v>
      </c>
      <c r="D14" s="17">
        <v>7841</v>
      </c>
      <c r="E14" s="17">
        <f>D14-C14</f>
        <v>7655</v>
      </c>
      <c r="F14" s="17">
        <v>2768</v>
      </c>
      <c r="G14" s="17">
        <v>0</v>
      </c>
      <c r="H14" s="17">
        <v>2558</v>
      </c>
      <c r="I14" s="17">
        <v>5283</v>
      </c>
      <c r="J14" s="17">
        <f>H14+I14-C14-E14</f>
        <v>0</v>
      </c>
      <c r="K14" s="17">
        <f>C14-H14</f>
        <v>-2372</v>
      </c>
      <c r="L14" s="17"/>
    </row>
    <row r="15" ht="20.05" customHeight="1">
      <c r="B15" s="28"/>
      <c r="C15" s="16">
        <v>499</v>
      </c>
      <c r="D15" s="17">
        <v>6155</v>
      </c>
      <c r="E15" s="17">
        <f>D15-C15</f>
        <v>5656</v>
      </c>
      <c r="F15" s="17">
        <f>4243+156</f>
        <v>4399</v>
      </c>
      <c r="G15" s="17">
        <v>0</v>
      </c>
      <c r="H15" s="17">
        <v>2330</v>
      </c>
      <c r="I15" s="17">
        <v>3825</v>
      </c>
      <c r="J15" s="17">
        <f>H15+I15-C15-E15</f>
        <v>0</v>
      </c>
      <c r="K15" s="17">
        <f>C15-H15</f>
        <v>-1831</v>
      </c>
      <c r="L15" s="17"/>
    </row>
    <row r="16" ht="20.05" customHeight="1">
      <c r="B16" s="29">
        <v>2019</v>
      </c>
      <c r="C16" s="16">
        <v>243</v>
      </c>
      <c r="D16" s="17">
        <v>6065</v>
      </c>
      <c r="E16" s="17">
        <f>D16-C16</f>
        <v>5822</v>
      </c>
      <c r="F16" s="17">
        <v>2848</v>
      </c>
      <c r="G16" s="17">
        <v>0</v>
      </c>
      <c r="H16" s="17">
        <v>2127</v>
      </c>
      <c r="I16" s="17">
        <v>3938</v>
      </c>
      <c r="J16" s="17">
        <f>H16+I16-C16-E16</f>
        <v>0</v>
      </c>
      <c r="K16" s="17">
        <f>C16-H16</f>
        <v>-1884</v>
      </c>
      <c r="L16" s="17"/>
    </row>
    <row r="17" ht="20.05" customHeight="1">
      <c r="B17" s="28"/>
      <c r="C17" s="16">
        <v>161</v>
      </c>
      <c r="D17" s="17">
        <v>6234</v>
      </c>
      <c r="E17" s="17">
        <f>D17-C17</f>
        <v>6073</v>
      </c>
      <c r="F17" s="17">
        <f>2778</f>
        <v>2778</v>
      </c>
      <c r="G17" s="17">
        <v>0</v>
      </c>
      <c r="H17" s="17">
        <v>2293</v>
      </c>
      <c r="I17" s="17">
        <v>3941</v>
      </c>
      <c r="J17" s="17">
        <f>H17+I17-C17-E17</f>
        <v>0</v>
      </c>
      <c r="K17" s="17">
        <f>C17-H17</f>
        <v>-2132</v>
      </c>
      <c r="L17" s="17"/>
    </row>
    <row r="18" ht="20.05" customHeight="1">
      <c r="B18" s="28"/>
      <c r="C18" s="16">
        <v>150</v>
      </c>
      <c r="D18" s="17">
        <v>5964</v>
      </c>
      <c r="E18" s="17">
        <f>D18-C18</f>
        <v>5814</v>
      </c>
      <c r="F18" s="17">
        <v>2747</v>
      </c>
      <c r="G18" s="17">
        <v>0</v>
      </c>
      <c r="H18" s="17">
        <v>2035</v>
      </c>
      <c r="I18" s="17">
        <v>3929</v>
      </c>
      <c r="J18" s="17">
        <f>H18+I18-C18-E18</f>
        <v>0</v>
      </c>
      <c r="K18" s="17">
        <f>C18-H18</f>
        <v>-1885</v>
      </c>
      <c r="L18" s="17"/>
    </row>
    <row r="19" ht="20.05" customHeight="1">
      <c r="B19" s="28"/>
      <c r="C19" s="16">
        <v>168</v>
      </c>
      <c r="D19" s="17">
        <v>6054</v>
      </c>
      <c r="E19" s="17">
        <f>D19-C19</f>
        <v>5886</v>
      </c>
      <c r="F19" s="17">
        <f>3682+165</f>
        <v>3847</v>
      </c>
      <c r="G19" s="17">
        <v>0</v>
      </c>
      <c r="H19" s="17">
        <v>2164</v>
      </c>
      <c r="I19" s="17">
        <v>3890</v>
      </c>
      <c r="J19" s="17">
        <f>H19+I19-C19-E19</f>
        <v>0</v>
      </c>
      <c r="K19" s="17">
        <f>C19-H19</f>
        <v>-1996</v>
      </c>
      <c r="L19" s="17"/>
    </row>
    <row r="20" ht="20.05" customHeight="1">
      <c r="B20" s="29">
        <v>2020</v>
      </c>
      <c r="C20" s="16">
        <v>96</v>
      </c>
      <c r="D20" s="17">
        <v>6642</v>
      </c>
      <c r="E20" s="17">
        <f>D20-C20</f>
        <v>6546</v>
      </c>
      <c r="F20" s="17">
        <f>5368+168</f>
        <v>5536</v>
      </c>
      <c r="G20" s="17">
        <f>144+507</f>
        <v>651</v>
      </c>
      <c r="H20" s="17">
        <v>3164</v>
      </c>
      <c r="I20" s="17">
        <v>3478</v>
      </c>
      <c r="J20" s="17">
        <f>H20+I20-C20-E20</f>
        <v>0</v>
      </c>
      <c r="K20" s="17">
        <f>C20-H20</f>
        <v>-3068</v>
      </c>
      <c r="L20" s="17"/>
    </row>
    <row r="21" ht="20.05" customHeight="1">
      <c r="B21" s="28"/>
      <c r="C21" s="16">
        <v>64</v>
      </c>
      <c r="D21" s="17">
        <v>6401</v>
      </c>
      <c r="E21" s="17">
        <f>D21-C21</f>
        <v>6337</v>
      </c>
      <c r="F21" s="17">
        <f>5357+172</f>
        <v>5529</v>
      </c>
      <c r="G21" s="17">
        <f>207+419</f>
        <v>626</v>
      </c>
      <c r="H21" s="17">
        <v>3084</v>
      </c>
      <c r="I21" s="17">
        <v>3317</v>
      </c>
      <c r="J21" s="17">
        <f>H21+I21-C21-E21</f>
        <v>0</v>
      </c>
      <c r="K21" s="17">
        <f>C21-H21</f>
        <v>-3020</v>
      </c>
      <c r="L21" s="17"/>
    </row>
    <row r="22" ht="20.05" customHeight="1">
      <c r="B22" s="28"/>
      <c r="C22" s="16">
        <v>75</v>
      </c>
      <c r="D22" s="17">
        <v>5997</v>
      </c>
      <c r="E22" s="17">
        <f>D22-C22</f>
        <v>5922</v>
      </c>
      <c r="F22" s="17">
        <f>5031+176</f>
        <v>5207</v>
      </c>
      <c r="G22" s="17">
        <f>134+489</f>
        <v>623</v>
      </c>
      <c r="H22" s="17">
        <v>2831</v>
      </c>
      <c r="I22" s="17">
        <v>3166</v>
      </c>
      <c r="J22" s="17">
        <f>H22+I22-C22-E22</f>
        <v>0</v>
      </c>
      <c r="K22" s="17">
        <f>C22-H22</f>
        <v>-2756</v>
      </c>
      <c r="L22" s="17"/>
    </row>
    <row r="23" ht="20.05" customHeight="1">
      <c r="B23" s="28"/>
      <c r="C23" s="16">
        <v>76</v>
      </c>
      <c r="D23" s="17">
        <v>4838</v>
      </c>
      <c r="E23" s="17">
        <f>D23-C23</f>
        <v>4762</v>
      </c>
      <c r="F23" s="17">
        <f>6065+180</f>
        <v>6245</v>
      </c>
      <c r="G23" s="17">
        <f>155+548</f>
        <v>703</v>
      </c>
      <c r="H23" s="17">
        <v>2984</v>
      </c>
      <c r="I23" s="17">
        <v>1854</v>
      </c>
      <c r="J23" s="17">
        <f>H23+I23-C23-E23</f>
        <v>0</v>
      </c>
      <c r="K23" s="17">
        <f>C23-H23</f>
        <v>-2908</v>
      </c>
      <c r="L23" s="36"/>
    </row>
    <row r="24" ht="20.05" customHeight="1">
      <c r="B24" s="29">
        <v>2021</v>
      </c>
      <c r="C24" s="16">
        <v>239</v>
      </c>
      <c r="D24" s="17">
        <v>5128</v>
      </c>
      <c r="E24" s="17">
        <f>D24-C24</f>
        <v>4889</v>
      </c>
      <c r="F24" s="17">
        <f>5902+160</f>
        <v>6062</v>
      </c>
      <c r="G24" s="17">
        <f>137+388</f>
        <v>525</v>
      </c>
      <c r="H24" s="17">
        <v>3275</v>
      </c>
      <c r="I24" s="17">
        <v>1853</v>
      </c>
      <c r="J24" s="17">
        <f>H24+I24-C24-E24</f>
        <v>0</v>
      </c>
      <c r="K24" s="17">
        <f>C24-H24</f>
        <v>-3036</v>
      </c>
      <c r="L24" s="17"/>
    </row>
    <row r="25" ht="20.05" customHeight="1">
      <c r="B25" s="28"/>
      <c r="C25" s="16">
        <v>80</v>
      </c>
      <c r="D25" s="17">
        <v>4921</v>
      </c>
      <c r="E25" s="17">
        <f>D25-C25</f>
        <v>4841</v>
      </c>
      <c r="F25" s="17">
        <f>5615+200</f>
        <v>5815</v>
      </c>
      <c r="G25" s="17">
        <f>113+366</f>
        <v>479</v>
      </c>
      <c r="H25" s="17">
        <v>3618</v>
      </c>
      <c r="I25" s="17">
        <v>1303</v>
      </c>
      <c r="J25" s="17">
        <f>H25+I25-C25-E25</f>
        <v>0</v>
      </c>
      <c r="K25" s="17">
        <f>C25-H25</f>
        <v>-3538</v>
      </c>
      <c r="L25" s="17"/>
    </row>
    <row r="26" ht="20.05" customHeight="1">
      <c r="B26" s="28"/>
      <c r="C26" s="16">
        <v>79</v>
      </c>
      <c r="D26" s="17">
        <v>4527</v>
      </c>
      <c r="E26" s="17">
        <f>D26-C26</f>
        <v>4448</v>
      </c>
      <c r="F26" s="17">
        <f>4514+191</f>
        <v>4705</v>
      </c>
      <c r="G26" s="17">
        <f>314+107</f>
        <v>421</v>
      </c>
      <c r="H26" s="17">
        <v>3437</v>
      </c>
      <c r="I26" s="17">
        <v>1090</v>
      </c>
      <c r="J26" s="17">
        <f>H26+I26-C26-E26</f>
        <v>0</v>
      </c>
      <c r="K26" s="17">
        <f>C26-H26</f>
        <v>-3358</v>
      </c>
      <c r="L26" s="17">
        <f>K26</f>
        <v>-3358</v>
      </c>
    </row>
    <row r="27" ht="20.05" customHeight="1">
      <c r="B27" s="28"/>
      <c r="C27" s="16"/>
      <c r="D27" s="17"/>
      <c r="E27" s="17"/>
      <c r="F27" s="17"/>
      <c r="G27" s="17"/>
      <c r="H27" s="17"/>
      <c r="I27" s="17"/>
      <c r="J27" s="17"/>
      <c r="K27" s="17"/>
      <c r="L27" s="17">
        <f>'Model'!F31</f>
        <v>-3192.853697192440</v>
      </c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7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7" customWidth="1"/>
    <col min="2" max="4" width="9.9375" style="37" customWidth="1"/>
    <col min="5" max="16384" width="16.3516" style="37" customWidth="1"/>
  </cols>
  <sheetData>
    <row r="1" ht="30.75" customHeight="1"/>
    <row r="2" ht="27.65" customHeight="1">
      <c r="B2" t="s" s="2">
        <v>54</v>
      </c>
      <c r="C2" s="2"/>
      <c r="D2" s="2"/>
    </row>
    <row r="3" ht="20.25" customHeight="1">
      <c r="B3" s="6"/>
      <c r="C3" t="s" s="38">
        <v>55</v>
      </c>
      <c r="D3" t="s" s="38">
        <v>37</v>
      </c>
    </row>
    <row r="4" ht="20.25" customHeight="1">
      <c r="B4" s="23">
        <v>2016</v>
      </c>
      <c r="C4" s="39">
        <v>1060</v>
      </c>
      <c r="D4" s="9"/>
    </row>
    <row r="5" ht="20.05" customHeight="1">
      <c r="B5" s="28"/>
      <c r="C5" s="40">
        <v>1030</v>
      </c>
      <c r="D5" s="19"/>
    </row>
    <row r="6" ht="20.05" customHeight="1">
      <c r="B6" s="28"/>
      <c r="C6" s="40">
        <v>1070</v>
      </c>
      <c r="D6" s="19"/>
    </row>
    <row r="7" ht="20.05" customHeight="1">
      <c r="B7" s="28"/>
      <c r="C7" s="40">
        <v>1200</v>
      </c>
      <c r="D7" s="19"/>
    </row>
    <row r="8" ht="20.05" customHeight="1">
      <c r="B8" s="28"/>
      <c r="C8" s="40">
        <v>1155</v>
      </c>
      <c r="D8" s="19"/>
    </row>
    <row r="9" ht="20.05" customHeight="1">
      <c r="B9" s="28"/>
      <c r="C9" s="40">
        <v>1120</v>
      </c>
      <c r="D9" s="19"/>
    </row>
    <row r="10" ht="20.05" customHeight="1">
      <c r="B10" s="28"/>
      <c r="C10" s="40">
        <v>1150</v>
      </c>
      <c r="D10" s="19"/>
    </row>
    <row r="11" ht="20.05" customHeight="1">
      <c r="B11" s="28"/>
      <c r="C11" s="40">
        <v>1200</v>
      </c>
      <c r="D11" s="19"/>
    </row>
    <row r="12" ht="20.05" customHeight="1">
      <c r="B12" s="28"/>
      <c r="C12" s="40">
        <v>1150</v>
      </c>
      <c r="D12" s="19"/>
    </row>
    <row r="13" ht="20.05" customHeight="1">
      <c r="B13" s="28"/>
      <c r="C13" s="40">
        <v>1260</v>
      </c>
      <c r="D13" s="19"/>
    </row>
    <row r="14" ht="20.05" customHeight="1">
      <c r="B14" s="28"/>
      <c r="C14" s="40">
        <v>1250</v>
      </c>
      <c r="D14" s="19"/>
    </row>
    <row r="15" ht="20.05" customHeight="1">
      <c r="B15" s="28"/>
      <c r="C15" s="40">
        <v>1260</v>
      </c>
      <c r="D15" s="19"/>
    </row>
    <row r="16" ht="20.05" customHeight="1">
      <c r="B16" s="29">
        <v>2017</v>
      </c>
      <c r="C16" s="40">
        <v>1250</v>
      </c>
      <c r="D16" s="19"/>
    </row>
    <row r="17" ht="20.05" customHeight="1">
      <c r="B17" s="28"/>
      <c r="C17" s="40">
        <v>1200</v>
      </c>
      <c r="D17" s="19"/>
    </row>
    <row r="18" ht="20.05" customHeight="1">
      <c r="B18" s="28"/>
      <c r="C18" s="40">
        <v>1320</v>
      </c>
      <c r="D18" s="19"/>
    </row>
    <row r="19" ht="20.05" customHeight="1">
      <c r="B19" s="28"/>
      <c r="C19" s="40">
        <v>1280</v>
      </c>
      <c r="D19" s="19"/>
    </row>
    <row r="20" ht="20.05" customHeight="1">
      <c r="B20" s="28"/>
      <c r="C20" s="40">
        <v>1270</v>
      </c>
      <c r="D20" s="19"/>
    </row>
    <row r="21" ht="20.05" customHeight="1">
      <c r="B21" s="28"/>
      <c r="C21" s="40">
        <v>1200</v>
      </c>
      <c r="D21" s="19"/>
    </row>
    <row r="22" ht="20.05" customHeight="1">
      <c r="B22" s="28"/>
      <c r="C22" s="40">
        <v>1170</v>
      </c>
      <c r="D22" s="19"/>
    </row>
    <row r="23" ht="20.05" customHeight="1">
      <c r="B23" s="28"/>
      <c r="C23" s="40">
        <v>1195</v>
      </c>
      <c r="D23" s="19"/>
    </row>
    <row r="24" ht="20.05" customHeight="1">
      <c r="B24" s="28"/>
      <c r="C24" s="40">
        <v>1190</v>
      </c>
      <c r="D24" s="19"/>
    </row>
    <row r="25" ht="20.05" customHeight="1">
      <c r="B25" s="28"/>
      <c r="C25" s="40">
        <v>1100</v>
      </c>
      <c r="D25" s="19"/>
    </row>
    <row r="26" ht="20.05" customHeight="1">
      <c r="B26" s="28"/>
      <c r="C26" s="40">
        <v>1010</v>
      </c>
      <c r="D26" s="19"/>
    </row>
    <row r="27" ht="20.05" customHeight="1">
      <c r="B27" s="28"/>
      <c r="C27" s="40">
        <v>925</v>
      </c>
      <c r="D27" s="19"/>
    </row>
    <row r="28" ht="20.05" customHeight="1">
      <c r="B28" s="29">
        <v>2018</v>
      </c>
      <c r="C28" s="40">
        <v>970</v>
      </c>
      <c r="D28" s="19"/>
    </row>
    <row r="29" ht="20.05" customHeight="1">
      <c r="B29" s="28"/>
      <c r="C29" s="40">
        <v>950</v>
      </c>
      <c r="D29" s="19"/>
    </row>
    <row r="30" ht="20.05" customHeight="1">
      <c r="B30" s="28"/>
      <c r="C30" s="40">
        <v>940</v>
      </c>
      <c r="D30" s="19"/>
    </row>
    <row r="31" ht="20.05" customHeight="1">
      <c r="B31" s="28"/>
      <c r="C31" s="40">
        <v>945</v>
      </c>
      <c r="D31" s="19"/>
    </row>
    <row r="32" ht="20.05" customHeight="1">
      <c r="B32" s="28"/>
      <c r="C32" s="40">
        <v>945</v>
      </c>
      <c r="D32" s="19"/>
    </row>
    <row r="33" ht="20.05" customHeight="1">
      <c r="B33" s="28"/>
      <c r="C33" s="40">
        <v>935</v>
      </c>
      <c r="D33" s="19"/>
    </row>
    <row r="34" ht="20.05" customHeight="1">
      <c r="B34" s="28"/>
      <c r="C34" s="40">
        <v>930</v>
      </c>
      <c r="D34" s="19"/>
    </row>
    <row r="35" ht="20.05" customHeight="1">
      <c r="B35" s="28"/>
      <c r="C35" s="40">
        <v>930</v>
      </c>
      <c r="D35" s="19"/>
    </row>
    <row r="36" ht="20.05" customHeight="1">
      <c r="B36" s="28"/>
      <c r="C36" s="40">
        <v>965</v>
      </c>
      <c r="D36" s="19"/>
    </row>
    <row r="37" ht="20.05" customHeight="1">
      <c r="B37" s="28"/>
      <c r="C37" s="40">
        <v>965</v>
      </c>
      <c r="D37" s="19"/>
    </row>
    <row r="38" ht="20.05" customHeight="1">
      <c r="B38" s="28"/>
      <c r="C38" s="40">
        <v>870</v>
      </c>
      <c r="D38" s="19"/>
    </row>
    <row r="39" ht="20.05" customHeight="1">
      <c r="B39" s="28"/>
      <c r="C39" s="40">
        <v>790</v>
      </c>
      <c r="D39" s="19"/>
    </row>
    <row r="40" ht="20.05" customHeight="1">
      <c r="B40" s="29">
        <v>2019</v>
      </c>
      <c r="C40" s="40">
        <v>815</v>
      </c>
      <c r="D40" s="19"/>
    </row>
    <row r="41" ht="20.05" customHeight="1">
      <c r="B41" s="28"/>
      <c r="C41" s="40">
        <v>805</v>
      </c>
      <c r="D41" s="19"/>
    </row>
    <row r="42" ht="20.05" customHeight="1">
      <c r="B42" s="28"/>
      <c r="C42" s="40">
        <v>945</v>
      </c>
      <c r="D42" s="19"/>
    </row>
    <row r="43" ht="20.05" customHeight="1">
      <c r="B43" s="28"/>
      <c r="C43" s="40">
        <v>980</v>
      </c>
      <c r="D43" s="19"/>
    </row>
    <row r="44" ht="20.05" customHeight="1">
      <c r="B44" s="28"/>
      <c r="C44" s="40">
        <v>900</v>
      </c>
      <c r="D44" s="19"/>
    </row>
    <row r="45" ht="20.05" customHeight="1">
      <c r="B45" s="28"/>
      <c r="C45" s="40">
        <v>805</v>
      </c>
      <c r="D45" s="19"/>
    </row>
    <row r="46" ht="20.05" customHeight="1">
      <c r="B46" s="28"/>
      <c r="C46" s="40">
        <v>760</v>
      </c>
      <c r="D46" s="19"/>
    </row>
    <row r="47" ht="20.05" customHeight="1">
      <c r="B47" s="28"/>
      <c r="C47" s="40">
        <v>720</v>
      </c>
      <c r="D47" s="19"/>
    </row>
    <row r="48" ht="20.05" customHeight="1">
      <c r="B48" s="28"/>
      <c r="C48" s="40">
        <v>690</v>
      </c>
      <c r="D48" s="19"/>
    </row>
    <row r="49" ht="20.05" customHeight="1">
      <c r="B49" s="28"/>
      <c r="C49" s="40">
        <v>780</v>
      </c>
      <c r="D49" s="19"/>
    </row>
    <row r="50" ht="20.05" customHeight="1">
      <c r="B50" s="28"/>
      <c r="C50" s="40">
        <v>850</v>
      </c>
      <c r="D50" s="19"/>
    </row>
    <row r="51" ht="20.05" customHeight="1">
      <c r="B51" s="28"/>
      <c r="C51" s="40">
        <v>890</v>
      </c>
      <c r="D51" s="19"/>
    </row>
    <row r="52" ht="20.05" customHeight="1">
      <c r="B52" s="29">
        <v>2020</v>
      </c>
      <c r="C52" s="40">
        <v>850</v>
      </c>
      <c r="D52" s="19"/>
    </row>
    <row r="53" ht="20.05" customHeight="1">
      <c r="B53" s="28"/>
      <c r="C53" s="40">
        <v>900</v>
      </c>
      <c r="D53" s="19"/>
    </row>
    <row r="54" ht="20.05" customHeight="1">
      <c r="B54" s="28"/>
      <c r="C54" s="40">
        <v>815</v>
      </c>
      <c r="D54" s="19"/>
    </row>
    <row r="55" ht="20.05" customHeight="1">
      <c r="B55" s="28"/>
      <c r="C55" s="40">
        <v>900</v>
      </c>
      <c r="D55" s="19"/>
    </row>
    <row r="56" ht="20.05" customHeight="1">
      <c r="B56" s="28"/>
      <c r="C56" s="40">
        <v>890</v>
      </c>
      <c r="D56" s="19"/>
    </row>
    <row r="57" ht="20.05" customHeight="1">
      <c r="B57" s="28"/>
      <c r="C57" s="40">
        <v>860</v>
      </c>
      <c r="D57" s="19"/>
    </row>
    <row r="58" ht="20.05" customHeight="1">
      <c r="B58" s="28"/>
      <c r="C58" s="40">
        <v>875</v>
      </c>
      <c r="D58" s="19"/>
    </row>
    <row r="59" ht="20.05" customHeight="1">
      <c r="B59" s="28"/>
      <c r="C59" s="40">
        <v>830</v>
      </c>
      <c r="D59" s="19"/>
    </row>
    <row r="60" ht="20.05" customHeight="1">
      <c r="B60" s="28"/>
      <c r="C60" s="40">
        <v>780</v>
      </c>
      <c r="D60" s="19"/>
    </row>
    <row r="61" ht="20.05" customHeight="1">
      <c r="B61" s="28"/>
      <c r="C61" s="40">
        <v>805</v>
      </c>
      <c r="D61" s="19"/>
    </row>
    <row r="62" ht="20.05" customHeight="1">
      <c r="B62" s="28"/>
      <c r="C62" s="16">
        <v>835</v>
      </c>
      <c r="D62" s="19"/>
    </row>
    <row r="63" ht="20.05" customHeight="1">
      <c r="B63" s="28"/>
      <c r="C63" s="16">
        <v>830</v>
      </c>
      <c r="D63" s="19"/>
    </row>
    <row r="64" ht="20.05" customHeight="1">
      <c r="B64" s="29">
        <v>2021</v>
      </c>
      <c r="C64" s="16">
        <v>945</v>
      </c>
      <c r="D64" s="19"/>
    </row>
    <row r="65" ht="20.05" customHeight="1">
      <c r="B65" s="28"/>
      <c r="C65" s="16">
        <v>970</v>
      </c>
      <c r="D65" s="41"/>
    </row>
    <row r="66" ht="20.05" customHeight="1">
      <c r="B66" s="28"/>
      <c r="C66" s="16">
        <v>900</v>
      </c>
      <c r="D66" s="41"/>
    </row>
    <row r="67" ht="20.05" customHeight="1">
      <c r="B67" s="28"/>
      <c r="C67" s="16">
        <v>945</v>
      </c>
      <c r="D67" s="41"/>
    </row>
    <row r="68" ht="20.05" customHeight="1">
      <c r="B68" s="28"/>
      <c r="C68" s="16">
        <v>1610</v>
      </c>
      <c r="D68" s="41"/>
    </row>
    <row r="69" ht="20.05" customHeight="1">
      <c r="B69" s="28"/>
      <c r="C69" s="16">
        <v>1410</v>
      </c>
      <c r="D69" s="41"/>
    </row>
    <row r="70" ht="20.05" customHeight="1">
      <c r="B70" s="28"/>
      <c r="C70" s="16">
        <v>1900</v>
      </c>
      <c r="D70" s="41"/>
    </row>
    <row r="71" ht="20.05" customHeight="1">
      <c r="B71" s="28"/>
      <c r="C71" s="16">
        <v>1765</v>
      </c>
      <c r="D71" s="41"/>
    </row>
    <row r="72" ht="20.05" customHeight="1">
      <c r="B72" s="28"/>
      <c r="C72" s="16">
        <v>1760</v>
      </c>
      <c r="D72" s="41"/>
    </row>
    <row r="73" ht="20.05" customHeight="1">
      <c r="B73" s="28"/>
      <c r="C73" s="16">
        <v>1860</v>
      </c>
      <c r="D73" s="41"/>
    </row>
    <row r="74" ht="20.05" customHeight="1">
      <c r="B74" s="28"/>
      <c r="C74" s="16">
        <v>1775</v>
      </c>
      <c r="D74" s="42">
        <f>C74</f>
        <v>1775</v>
      </c>
    </row>
    <row r="75" ht="20.05" customHeight="1">
      <c r="B75" s="28"/>
      <c r="C75" s="16"/>
      <c r="D75" s="42">
        <f>'Model'!F43</f>
        <v>1012.271454879170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