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<sst xmlns="http://schemas.openxmlformats.org/spreadsheetml/2006/main" uniqueCount="57">
  <si>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</si>
  <si>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</si>
  <si>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2021</t>
  </si>
  <si>
    <t>Cash flow</t>
  </si>
  <si>
    <t>Growth</t>
  </si>
  <si>
    <t>Sales</t>
  </si>
  <si>
    <t xml:space="preserve">Cost ratio 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</si>
  <si>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</si>
  <si>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</si>
  <si>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</si>
  <si>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</si>
  <si>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</si>
  <si>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</si>
  <si>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</si>
  <si>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</si>
  <si>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</si>
  <si>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</si>
  <si>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</si>
  <si>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</si>
  <si>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>Non cash cost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</si>
  <si>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</si>
  <si>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</si>
  <si>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</si>
  <si>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</si>
  <si>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</si>
  <si>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</si>
  <si>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</si>
  <si>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</si>
  <si>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</si>
  <si>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</si>
  <si>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</si>
  <si>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</si>
  <si>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</si>
  <si>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Sales 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</si>
  <si>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</si>
  <si>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</si>
  <si>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</si>
  <si>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</si>
  <si>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</si>
  <si>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</si>
  <si>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</si>
  <si>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</si>
  <si>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</si>
  <si>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Sales growth </t>
  </si>
  <si>
    <t>Cash cost ratio</t>
  </si>
  <si>
    <t>Cashflow costs</t>
  </si>
  <si>
    <t>Cashflow</t>
  </si>
  <si>
    <t xml:space="preserve">Receipts </t>
  </si>
  <si>
    <t xml:space="preserve">Operating </t>
  </si>
  <si>
    <t>Capex</t>
  </si>
  <si>
    <t xml:space="preserve">Investment </t>
  </si>
  <si>
    <t xml:space="preserve">Free cashflow </t>
  </si>
  <si>
    <t>Cash</t>
  </si>
  <si>
    <t>Assets</t>
  </si>
  <si>
    <t>Check</t>
  </si>
  <si>
    <t>Share price</t>
  </si>
  <si>
    <t>GPSO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</si>
</sst>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540006</xdr:colOff>
      <xdr:row>1</xdr:row>
      <xdr:rowOff>187693</xdr:rowOff>
    </xdr:from>
    <xdr:to>
      <xdr:col>13</xdr:col>
      <xdr:colOff>36927</xdr:colOff>
      <xdr:row>45</xdr:row>
      <xdr:rowOff>110719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80206" y="496938"/>
          <a:ext cx="8209122" cy="1122856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75781" style="1" customWidth="1"/>
    <col min="2" max="2" width="14.7656" style="1" customWidth="1"/>
    <col min="3" max="6" width="8.69531" style="1" customWidth="1"/>
    <col min="7" max="16384" width="16.3516" style="1" customWidth="1"/>
  </cols>
  <sheetData>
    <row r="1" ht="24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5"/>
    </row>
    <row r="4" ht="20.25" customHeight="1">
      <c r="B4" t="s" s="6">
        <v>3</v>
      </c>
      <c r="C4" s="7">
        <f>AVERAGE('Sales'!G9:G12)</f>
        <v>-0.136708494138491</v>
      </c>
      <c r="D4" s="8"/>
      <c r="E4" s="8"/>
      <c r="F4" s="9">
        <f>AVERAGE(C5:F5)</f>
        <v>0.0325</v>
      </c>
    </row>
    <row r="5" ht="20.05" customHeight="1">
      <c r="B5" t="s" s="10">
        <v>4</v>
      </c>
      <c r="C5" s="11">
        <v>0.05</v>
      </c>
      <c r="D5" s="12">
        <v>0</v>
      </c>
      <c r="E5" s="12">
        <v>0.04</v>
      </c>
      <c r="F5" s="12">
        <v>0.04</v>
      </c>
    </row>
    <row r="6" ht="20.05" customHeight="1">
      <c r="B6" t="s" s="10">
        <v>5</v>
      </c>
      <c r="C6" s="13">
        <f>'Sales'!C12*(1+C5)</f>
        <v>2.91865</v>
      </c>
      <c r="D6" s="14">
        <f>C6*(1+D5)</f>
        <v>2.91865</v>
      </c>
      <c r="E6" s="14">
        <f>D6*(1+E5)</f>
        <v>3.035396</v>
      </c>
      <c r="F6" s="14">
        <f>E6*(1+F5)</f>
        <v>3.15681184</v>
      </c>
    </row>
    <row r="7" ht="20.05" customHeight="1">
      <c r="B7" t="s" s="10">
        <v>6</v>
      </c>
      <c r="C7" s="15">
        <f>AVERAGE('Sales'!H12:I12)</f>
        <v>-1.05156679244721</v>
      </c>
      <c r="D7" s="16">
        <f>C7</f>
        <v>-1.05156679244721</v>
      </c>
      <c r="E7" s="16">
        <f>D7</f>
        <v>-1.05156679244721</v>
      </c>
      <c r="F7" s="16">
        <f>E7</f>
        <v>-1.05156679244721</v>
      </c>
    </row>
    <row r="8" ht="20.05" customHeight="1">
      <c r="B8" t="s" s="10">
        <v>7</v>
      </c>
      <c r="C8" s="17">
        <f>C6*C7</f>
        <v>-3.06915541877605</v>
      </c>
      <c r="D8" s="18">
        <f>D6*D7</f>
        <v>-3.06915541877605</v>
      </c>
      <c r="E8" s="18">
        <f>E6*E7</f>
        <v>-3.19192163552709</v>
      </c>
      <c r="F8" s="18">
        <f>F6*F7</f>
        <v>-3.31959850094818</v>
      </c>
    </row>
    <row r="9" ht="20.05" customHeight="1">
      <c r="B9" t="s" s="10">
        <v>8</v>
      </c>
      <c r="C9" s="17">
        <f>C6+C8</f>
        <v>-0.15050541877605</v>
      </c>
      <c r="D9" s="18">
        <f>D6+D8</f>
        <v>-0.15050541877605</v>
      </c>
      <c r="E9" s="18">
        <f>E6+E8</f>
        <v>-0.15652563552709</v>
      </c>
      <c r="F9" s="18">
        <f>F6+F8</f>
        <v>-0.16278666094818</v>
      </c>
    </row>
    <row r="10" ht="20.05" customHeight="1">
      <c r="B10" t="s" s="10">
        <v>9</v>
      </c>
      <c r="C10" s="17">
        <f>AVERAGE('Cashflow'!E9)</f>
        <v>-0.065</v>
      </c>
      <c r="D10" s="18">
        <f>C10</f>
        <v>-0.065</v>
      </c>
      <c r="E10" s="18">
        <f>D10</f>
        <v>-0.065</v>
      </c>
      <c r="F10" s="18">
        <f>E10</f>
        <v>-0.065</v>
      </c>
    </row>
    <row r="11" ht="20.05" customHeight="1">
      <c r="B11" t="s" s="10">
        <v>10</v>
      </c>
      <c r="C11" s="17">
        <f>C12+C13+C15</f>
        <v>0.21550541877605</v>
      </c>
      <c r="D11" s="18">
        <f>D12+D13+D15</f>
        <v>0.21550541877605</v>
      </c>
      <c r="E11" s="18">
        <f>E12+E13+E15</f>
        <v>0.22152563552709</v>
      </c>
      <c r="F11" s="18">
        <f>F12+F13+F15</f>
        <v>0.22778666094818</v>
      </c>
    </row>
    <row r="12" ht="20.05" customHeight="1">
      <c r="B12" t="s" s="10">
        <v>11</v>
      </c>
      <c r="C12" s="17">
        <f>-'Balance sheet'!G7/20</f>
        <v>-0.75705</v>
      </c>
      <c r="D12" s="18">
        <f>-C26/20</f>
        <v>-0.7191975</v>
      </c>
      <c r="E12" s="18">
        <f>-D26/20</f>
        <v>-0.683237625</v>
      </c>
      <c r="F12" s="18">
        <f>-E26/20</f>
        <v>-0.649075743750</v>
      </c>
    </row>
    <row r="13" ht="20.05" customHeight="1">
      <c r="B13" t="s" s="10">
        <v>12</v>
      </c>
      <c r="C13" s="17">
        <f>IF(C21&gt;0,-C21*0.3,0)</f>
        <v>0</v>
      </c>
      <c r="D13" s="18">
        <f>IF(D21&gt;0,-D21*0.3,0)</f>
        <v>0</v>
      </c>
      <c r="E13" s="18">
        <f>IF(E21&gt;0,-E21*0.3,0)</f>
        <v>0</v>
      </c>
      <c r="F13" s="18">
        <f>IF(F21&gt;0,-F21*0.3,0)</f>
        <v>0</v>
      </c>
    </row>
    <row r="14" ht="20.05" customHeight="1">
      <c r="B14" t="s" s="10">
        <v>13</v>
      </c>
      <c r="C14" s="17">
        <f>C9+C10+C12+C13</f>
        <v>-0.97255541877605</v>
      </c>
      <c r="D14" s="18">
        <f>D9+D10+D12+D13</f>
        <v>-0.9347029187760501</v>
      </c>
      <c r="E14" s="18">
        <f>E9+E10+E12+E13</f>
        <v>-0.90476326052709</v>
      </c>
      <c r="F14" s="18">
        <f>F9+F10+F12+F13</f>
        <v>-0.87686240469818</v>
      </c>
    </row>
    <row r="15" ht="20.05" customHeight="1">
      <c r="B15" t="s" s="10">
        <v>14</v>
      </c>
      <c r="C15" s="17">
        <f>-MIN(0,C14)</f>
        <v>0.97255541877605</v>
      </c>
      <c r="D15" s="18">
        <f>-MIN(C27,D14)</f>
        <v>0.9347029187760501</v>
      </c>
      <c r="E15" s="18">
        <f>-MIN(D27,E14)</f>
        <v>0.90476326052709</v>
      </c>
      <c r="F15" s="18">
        <f>-MIN(E27,F14)</f>
        <v>0.87686240469818</v>
      </c>
    </row>
    <row r="16" ht="20.05" customHeight="1">
      <c r="B16" t="s" s="10">
        <v>15</v>
      </c>
      <c r="C16" s="17">
        <f>'Balance sheet'!C7</f>
        <v>1.138</v>
      </c>
      <c r="D16" s="18">
        <f>C18</f>
        <v>1.138</v>
      </c>
      <c r="E16" s="18">
        <f>D18</f>
        <v>1.138</v>
      </c>
      <c r="F16" s="18">
        <f>E18</f>
        <v>1.138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1.138</v>
      </c>
      <c r="D18" s="18">
        <f>D16+D17</f>
        <v>1.138</v>
      </c>
      <c r="E18" s="18">
        <f>E16+E17</f>
        <v>1.138</v>
      </c>
      <c r="F18" s="18">
        <f>F16+F17</f>
        <v>1.138</v>
      </c>
    </row>
    <row r="19" ht="20.05" customHeight="1">
      <c r="B19" t="s" s="19">
        <v>18</v>
      </c>
      <c r="C19" s="20"/>
      <c r="D19" s="21"/>
      <c r="E19" s="21"/>
      <c r="F19" s="22"/>
    </row>
    <row r="20" ht="20.05" customHeight="1">
      <c r="B20" t="s" s="10">
        <v>19</v>
      </c>
      <c r="C20" s="17">
        <f>-AVERAGE('Sales'!E12)</f>
        <v>-0.147</v>
      </c>
      <c r="D20" s="18">
        <f>C20</f>
        <v>-0.147</v>
      </c>
      <c r="E20" s="18">
        <f>D20</f>
        <v>-0.147</v>
      </c>
      <c r="F20" s="18">
        <f>E20</f>
        <v>-0.147</v>
      </c>
    </row>
    <row r="21" ht="20.05" customHeight="1">
      <c r="B21" t="s" s="10">
        <v>20</v>
      </c>
      <c r="C21" s="17">
        <f>C6+C8+C20</f>
        <v>-0.29750541877605</v>
      </c>
      <c r="D21" s="18">
        <f>D6+D8+D20</f>
        <v>-0.29750541877605</v>
      </c>
      <c r="E21" s="18">
        <f>E6+E8+E20</f>
        <v>-0.30352563552709</v>
      </c>
      <c r="F21" s="18">
        <f>F6+F8+F20</f>
        <v>-0.30978666094818</v>
      </c>
    </row>
    <row r="22" ht="20.05" customHeight="1">
      <c r="B22" t="s" s="19">
        <v>21</v>
      </c>
      <c r="C22" s="20"/>
      <c r="D22" s="21"/>
      <c r="E22" s="21"/>
      <c r="F22" s="18"/>
    </row>
    <row r="23" ht="20.05" customHeight="1">
      <c r="B23" t="s" s="10">
        <v>22</v>
      </c>
      <c r="C23" s="17">
        <f>'Balance sheet'!E7+'Balance sheet'!F7-C10</f>
        <v>64.26000000000001</v>
      </c>
      <c r="D23" s="18">
        <f>C23-D10</f>
        <v>64.325</v>
      </c>
      <c r="E23" s="18">
        <f>D23-E10</f>
        <v>64.39</v>
      </c>
      <c r="F23" s="18">
        <f>E23-F10</f>
        <v>64.455</v>
      </c>
    </row>
    <row r="24" ht="20.05" customHeight="1">
      <c r="B24" t="s" s="10">
        <v>23</v>
      </c>
      <c r="C24" s="17">
        <f>'Balance sheet'!F7-C20</f>
        <v>1.084</v>
      </c>
      <c r="D24" s="18">
        <f>C24-D20</f>
        <v>1.231</v>
      </c>
      <c r="E24" s="18">
        <f>D24-E20</f>
        <v>1.378</v>
      </c>
      <c r="F24" s="18">
        <f>E24-F20</f>
        <v>1.525</v>
      </c>
    </row>
    <row r="25" ht="20.05" customHeight="1">
      <c r="B25" t="s" s="10">
        <v>24</v>
      </c>
      <c r="C25" s="17">
        <f>C23-C24</f>
        <v>63.176</v>
      </c>
      <c r="D25" s="18">
        <f>D23-D24</f>
        <v>63.094</v>
      </c>
      <c r="E25" s="18">
        <f>E23-E24</f>
        <v>63.012</v>
      </c>
      <c r="F25" s="18">
        <f>F23-F24</f>
        <v>62.93</v>
      </c>
    </row>
    <row r="26" ht="20.05" customHeight="1">
      <c r="B26" t="s" s="10">
        <v>11</v>
      </c>
      <c r="C26" s="17">
        <f>'Balance sheet'!G7+C12</f>
        <v>14.38395</v>
      </c>
      <c r="D26" s="18">
        <f>C26+D12</f>
        <v>13.6647525</v>
      </c>
      <c r="E26" s="18">
        <f>D26+E12</f>
        <v>12.981514875</v>
      </c>
      <c r="F26" s="18">
        <f>E26+F12</f>
        <v>12.332439131250</v>
      </c>
    </row>
    <row r="27" ht="20.05" customHeight="1">
      <c r="B27" t="s" s="10">
        <v>14</v>
      </c>
      <c r="C27" s="17">
        <f>C15</f>
        <v>0.97255541877605</v>
      </c>
      <c r="D27" s="18">
        <f>C27+D15</f>
        <v>1.9072583375521</v>
      </c>
      <c r="E27" s="18">
        <f>D27+E15</f>
        <v>2.81202159807919</v>
      </c>
      <c r="F27" s="18">
        <f>E27+F15</f>
        <v>3.68888400277737</v>
      </c>
    </row>
    <row r="28" ht="20.05" customHeight="1">
      <c r="B28" t="s" s="10">
        <v>25</v>
      </c>
      <c r="C28" s="17">
        <f>'Balance sheet'!H7+C21+C13</f>
        <v>48.957494581224</v>
      </c>
      <c r="D28" s="18">
        <f>C28+D21+D13</f>
        <v>48.659989162448</v>
      </c>
      <c r="E28" s="18">
        <f>D28+E21+E13</f>
        <v>48.3564635269209</v>
      </c>
      <c r="F28" s="18">
        <f>E28+F21+F13</f>
        <v>48.0466768659727</v>
      </c>
    </row>
    <row r="29" ht="20.05" customHeight="1">
      <c r="B29" t="s" s="10">
        <v>26</v>
      </c>
      <c r="C29" s="17">
        <f>C26+C27+C28-C18-C25</f>
        <v>5e-14</v>
      </c>
      <c r="D29" s="18">
        <f>D26+D27+D28-D18-D25</f>
        <v>1e-13</v>
      </c>
      <c r="E29" s="18">
        <f>E26+E27+E28-E18-E25</f>
        <v>9e-14</v>
      </c>
      <c r="F29" s="18">
        <f>F26+F27+F28-F18-F25</f>
        <v>7e-14</v>
      </c>
    </row>
    <row r="30" ht="20.05" customHeight="1">
      <c r="B30" t="s" s="10">
        <v>27</v>
      </c>
      <c r="C30" s="17">
        <f>C18-C26-C27</f>
        <v>-14.2185054187761</v>
      </c>
      <c r="D30" s="18">
        <f>D18-D26-D27</f>
        <v>-14.4340108375521</v>
      </c>
      <c r="E30" s="18">
        <f>E18-E26-E27</f>
        <v>-14.6555364730792</v>
      </c>
      <c r="F30" s="18">
        <f>F18-F26-F27</f>
        <v>-14.8833231340274</v>
      </c>
    </row>
    <row r="31" ht="20.05" customHeight="1">
      <c r="B31" t="s" s="19">
        <v>28</v>
      </c>
      <c r="C31" s="17"/>
      <c r="D31" s="18"/>
      <c r="E31" s="18"/>
      <c r="F31" s="18"/>
    </row>
    <row r="32" ht="20.05" customHeight="1">
      <c r="B32" t="s" s="10">
        <v>29</v>
      </c>
      <c r="C32" s="17">
        <f>'Cashflow'!L12-C11</f>
        <v>-15.5625054187761</v>
      </c>
      <c r="D32" s="18">
        <f>C32-D11</f>
        <v>-15.7780108375522</v>
      </c>
      <c r="E32" s="18">
        <f>D32-E11</f>
        <v>-15.9995364730793</v>
      </c>
      <c r="F32" s="18">
        <f>E32-F11</f>
        <v>-16.2273231340275</v>
      </c>
    </row>
    <row r="33" ht="20.05" customHeight="1">
      <c r="B33" t="s" s="10">
        <v>30</v>
      </c>
      <c r="C33" s="17"/>
      <c r="D33" s="18"/>
      <c r="E33" s="18"/>
      <c r="F33" s="18">
        <v>84.67</v>
      </c>
    </row>
    <row r="34" ht="20.05" customHeight="1">
      <c r="B34" t="s" s="10">
        <v>31</v>
      </c>
      <c r="C34" s="17"/>
      <c r="D34" s="18"/>
      <c r="E34" s="18"/>
      <c r="F34" s="23">
        <f>F33/(F18+F25)</f>
        <v>1.32156458762565</v>
      </c>
    </row>
    <row r="35" ht="20.05" customHeight="1">
      <c r="B35" t="s" s="10">
        <v>32</v>
      </c>
      <c r="C35" s="17"/>
      <c r="D35" s="18"/>
      <c r="E35" s="18"/>
      <c r="F35" s="16">
        <f>-(C13+D13+E13+F13)/F33</f>
        <v>0</v>
      </c>
    </row>
    <row r="36" ht="20.05" customHeight="1">
      <c r="B36" t="s" s="10">
        <v>33</v>
      </c>
      <c r="C36" s="17"/>
      <c r="D36" s="18"/>
      <c r="E36" s="18"/>
      <c r="F36" s="18">
        <f>SUM(C6:F6)</f>
        <v>12.02950784</v>
      </c>
    </row>
    <row r="37" ht="20.05" customHeight="1">
      <c r="B37" t="s" s="10">
        <v>34</v>
      </c>
      <c r="C37" s="17"/>
      <c r="D37" s="18"/>
      <c r="E37" s="18"/>
      <c r="F37" s="18"/>
    </row>
    <row r="38" ht="20.05" customHeight="1">
      <c r="B38" t="s" s="10">
        <v>28</v>
      </c>
      <c r="C38" s="17"/>
      <c r="D38" s="18"/>
      <c r="E38" s="18"/>
      <c r="F38" s="18">
        <f>F33/F36</f>
        <v>7.03852569250248</v>
      </c>
    </row>
    <row r="39" ht="20.05" customHeight="1">
      <c r="B39" t="s" s="10">
        <v>35</v>
      </c>
      <c r="C39" s="17"/>
      <c r="D39" s="18"/>
      <c r="E39" s="18"/>
      <c r="F39" s="18">
        <v>4</v>
      </c>
    </row>
    <row r="40" ht="20.05" customHeight="1">
      <c r="B40" t="s" s="10">
        <v>36</v>
      </c>
      <c r="C40" s="17"/>
      <c r="D40" s="18"/>
      <c r="E40" s="18"/>
      <c r="F40" s="18">
        <f>F36*F39</f>
        <v>48.11803136</v>
      </c>
    </row>
    <row r="41" ht="20.05" customHeight="1">
      <c r="B41" t="s" s="10">
        <v>37</v>
      </c>
      <c r="C41" s="17"/>
      <c r="D41" s="18"/>
      <c r="E41" s="18"/>
      <c r="F41" s="18">
        <f>F33/F43</f>
        <v>0.661484375</v>
      </c>
    </row>
    <row r="42" ht="20.05" customHeight="1">
      <c r="B42" t="s" s="10">
        <v>38</v>
      </c>
      <c r="C42" s="17"/>
      <c r="D42" s="18"/>
      <c r="E42" s="18"/>
      <c r="F42" s="18">
        <f>F40/F41</f>
        <v>72.742506366836</v>
      </c>
    </row>
    <row r="43" ht="20.05" customHeight="1">
      <c r="B43" t="s" s="10">
        <v>39</v>
      </c>
      <c r="C43" s="17"/>
      <c r="D43" s="18"/>
      <c r="E43" s="18"/>
      <c r="F43" s="18">
        <f>'Share price'!C8</f>
        <v>128</v>
      </c>
    </row>
    <row r="44" ht="20.05" customHeight="1">
      <c r="B44" t="s" s="10">
        <v>40</v>
      </c>
      <c r="C44" s="17"/>
      <c r="D44" s="18"/>
      <c r="E44" s="18"/>
      <c r="F44" s="16">
        <f>F42/F43-1</f>
        <v>-0.431699169009094</v>
      </c>
    </row>
    <row r="45" ht="20.05" customHeight="1">
      <c r="B45" t="s" s="10">
        <v>41</v>
      </c>
      <c r="C45" s="17"/>
      <c r="D45" s="18"/>
      <c r="E45" s="18"/>
      <c r="F45" s="16">
        <f>'Sales'!C12/'Sales'!C8-1</f>
        <v>-0.500419362568895</v>
      </c>
    </row>
    <row r="46" ht="20.05" customHeight="1">
      <c r="B46" t="s" s="10">
        <v>42</v>
      </c>
      <c r="C46" s="17"/>
      <c r="D46" s="18"/>
      <c r="E46" s="18"/>
      <c r="F46" s="16">
        <f>('Sales'!D9+'Sales'!D12+'Sales'!D10+'Sales'!D11)/('Sales'!C9+'Sales'!C10+'Sales'!C12+'Sales'!C11)-1</f>
        <v>-1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1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4" customWidth="1"/>
    <col min="2" max="2" width="7.00781" style="24" customWidth="1"/>
    <col min="3" max="10" width="9.10156" style="24" customWidth="1"/>
    <col min="11" max="16384" width="16.3516" style="24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5</v>
      </c>
      <c r="D3" t="s" s="4">
        <v>35</v>
      </c>
      <c r="E3" t="s" s="4">
        <v>23</v>
      </c>
      <c r="F3" t="s" s="4">
        <v>20</v>
      </c>
      <c r="G3" t="s" s="4">
        <v>43</v>
      </c>
      <c r="H3" t="s" s="4">
        <v>44</v>
      </c>
      <c r="I3" t="s" s="4">
        <v>45</v>
      </c>
      <c r="J3" t="s" s="4">
        <v>45</v>
      </c>
    </row>
    <row r="4" ht="20.25" customHeight="1">
      <c r="B4" s="25">
        <v>2018</v>
      </c>
      <c r="C4" s="26">
        <v>42.579</v>
      </c>
      <c r="D4" s="8"/>
      <c r="E4" s="27">
        <v>0.235</v>
      </c>
      <c r="F4" s="27">
        <v>12.258</v>
      </c>
      <c r="G4" s="28"/>
      <c r="H4" s="28">
        <f>(E4+F4-C4)/C4</f>
        <v>-0.706592451678057</v>
      </c>
      <c r="I4" s="28"/>
      <c r="J4" s="28"/>
    </row>
    <row r="5" ht="20.05" customHeight="1">
      <c r="B5" s="29">
        <v>2019</v>
      </c>
      <c r="C5" s="13">
        <v>68.386</v>
      </c>
      <c r="D5" s="22"/>
      <c r="E5" s="14">
        <v>0.205</v>
      </c>
      <c r="F5" s="14">
        <v>13.021</v>
      </c>
      <c r="G5" s="16"/>
      <c r="H5" s="16">
        <f>(E5+F5-C5)/C5</f>
        <v>-0.806597841663498</v>
      </c>
      <c r="I5" s="16"/>
      <c r="J5" s="16"/>
    </row>
    <row r="6" ht="20.05" customHeight="1">
      <c r="B6" s="29">
        <v>2020</v>
      </c>
      <c r="C6" s="13">
        <v>5.564</v>
      </c>
      <c r="D6" s="22"/>
      <c r="E6" s="14">
        <v>0.06</v>
      </c>
      <c r="F6" s="14">
        <v>0.284666666666667</v>
      </c>
      <c r="G6" s="16"/>
      <c r="H6" s="16">
        <f>(E6+F6-C6)/C6</f>
        <v>-0.938054157680326</v>
      </c>
      <c r="I6" s="16"/>
      <c r="J6" s="16">
        <f>('Cashflow'!D6-'Cashflow'!C6)/'Cashflow'!C6</f>
        <v>-0.781028277634961</v>
      </c>
    </row>
    <row r="7" ht="20.05" customHeight="1">
      <c r="B7" s="30"/>
      <c r="C7" s="13">
        <v>5.564</v>
      </c>
      <c r="D7" s="22"/>
      <c r="E7" s="14">
        <v>0.06</v>
      </c>
      <c r="F7" s="14">
        <v>0.284666666666667</v>
      </c>
      <c r="G7" s="16">
        <f>C7/C6-1</f>
        <v>0</v>
      </c>
      <c r="H7" s="16">
        <f>(E7+F7-C7)/C7</f>
        <v>-0.938054157680326</v>
      </c>
      <c r="I7" s="16"/>
      <c r="J7" s="16">
        <f>('Cashflow'!D7-'Cashflow'!C7)/'Cashflow'!C7</f>
        <v>-0.781028277634961</v>
      </c>
    </row>
    <row r="8" ht="20.05" customHeight="1">
      <c r="B8" s="30"/>
      <c r="C8" s="13">
        <v>5.564</v>
      </c>
      <c r="D8" s="22"/>
      <c r="E8" s="14">
        <v>0.06</v>
      </c>
      <c r="F8" s="14">
        <v>0.284666666666667</v>
      </c>
      <c r="G8" s="16">
        <f>C8/C7-1</f>
        <v>0</v>
      </c>
      <c r="H8" s="16">
        <f>(E8+F8-C8)/C8</f>
        <v>-0.938054157680326</v>
      </c>
      <c r="I8" s="16"/>
      <c r="J8" s="16">
        <f>('Cashflow'!D8-'Cashflow'!C8)/'Cashflow'!C8</f>
        <v>-0.781028277634961</v>
      </c>
    </row>
    <row r="9" ht="20.05" customHeight="1">
      <c r="B9" s="30"/>
      <c r="C9" s="20">
        <v>3.106</v>
      </c>
      <c r="D9" s="22"/>
      <c r="E9" s="14">
        <v>0.06900000000000001</v>
      </c>
      <c r="F9" s="21">
        <v>-2.118</v>
      </c>
      <c r="G9" s="16">
        <f>C9/C8-1</f>
        <v>-0.44176851186197</v>
      </c>
      <c r="H9" s="16">
        <f>(E9+F9-C9)/C9</f>
        <v>-1.65969092079845</v>
      </c>
      <c r="I9" s="16"/>
      <c r="J9" s="16">
        <f>('Cashflow'!D9-'Cashflow'!C9)/'Cashflow'!C9</f>
        <v>-2.62788104089219</v>
      </c>
    </row>
    <row r="10" ht="20.05" customHeight="1">
      <c r="B10" s="29">
        <v>2021</v>
      </c>
      <c r="C10" s="13">
        <v>2.77966666666667</v>
      </c>
      <c r="D10" s="22"/>
      <c r="E10" s="18">
        <v>0.147</v>
      </c>
      <c r="F10" s="18">
        <v>-1.54466666666667</v>
      </c>
      <c r="G10" s="16">
        <f>C10/C9-1</f>
        <v>-0.105065464691993</v>
      </c>
      <c r="H10" s="16">
        <f>(E10+F10-C10)/C10</f>
        <v>-1.50281808370308</v>
      </c>
      <c r="I10" s="16"/>
      <c r="J10" s="16">
        <f>('Cashflow'!D10-'Cashflow'!C10)/'Cashflow'!C10</f>
        <v>0.256252455152545</v>
      </c>
    </row>
    <row r="11" ht="20.05" customHeight="1">
      <c r="B11" s="30"/>
      <c r="C11" s="13">
        <v>2.77966666666667</v>
      </c>
      <c r="D11" s="22"/>
      <c r="E11" s="18">
        <v>0.147</v>
      </c>
      <c r="F11" s="18">
        <v>-1.54466666666667</v>
      </c>
      <c r="G11" s="16">
        <f>C11/C10-1</f>
        <v>0</v>
      </c>
      <c r="H11" s="16">
        <f>(E11+F11-C11)/C11</f>
        <v>-1.50281808370308</v>
      </c>
      <c r="I11" s="16"/>
      <c r="J11" s="16">
        <f>('Cashflow'!D11-'Cashflow'!C11)/'Cashflow'!C11</f>
        <v>0.256252455152545</v>
      </c>
    </row>
    <row r="12" ht="20.05" customHeight="1">
      <c r="B12" s="30"/>
      <c r="C12" s="13">
        <v>2.77966666666667</v>
      </c>
      <c r="D12" s="14"/>
      <c r="E12" s="14">
        <v>0.147</v>
      </c>
      <c r="F12" s="18">
        <v>-1.54466666666667</v>
      </c>
      <c r="G12" s="16">
        <f>C12/C11-1</f>
        <v>0</v>
      </c>
      <c r="H12" s="16">
        <f>(E12+F12-C12)/C12</f>
        <v>-1.50281808370308</v>
      </c>
      <c r="I12" s="16">
        <f>AVERAGE(J6:J12)</f>
        <v>-0.600315501191348</v>
      </c>
      <c r="J12" s="16">
        <f>('Cashflow'!D12-'Cashflow'!C12)/'Cashflow'!C12</f>
        <v>0.256252455152545</v>
      </c>
    </row>
    <row r="13" ht="20.05" customHeight="1">
      <c r="B13" s="30"/>
      <c r="C13" s="13"/>
      <c r="D13" s="14">
        <f>'Model'!C6</f>
        <v>2.91865</v>
      </c>
      <c r="E13" s="14"/>
      <c r="F13" s="14"/>
      <c r="G13" s="12"/>
      <c r="H13" s="16">
        <f>'Model'!F8/'Model'!F6</f>
        <v>-1.05156679244721</v>
      </c>
      <c r="I13" s="22"/>
      <c r="J13" s="16"/>
    </row>
    <row r="14" ht="20.05" customHeight="1">
      <c r="B14" s="29">
        <v>2022</v>
      </c>
      <c r="C14" s="13"/>
      <c r="D14" s="14">
        <f>'Model'!D6</f>
        <v>2.91865</v>
      </c>
      <c r="E14" s="14"/>
      <c r="F14" s="14"/>
      <c r="G14" s="12"/>
      <c r="H14" s="12"/>
      <c r="I14" s="12"/>
      <c r="J14" s="12"/>
    </row>
    <row r="15" ht="20.05" customHeight="1">
      <c r="B15" s="30"/>
      <c r="C15" s="13"/>
      <c r="D15" s="14">
        <f>'Model'!E6</f>
        <v>3.035396</v>
      </c>
      <c r="E15" s="14"/>
      <c r="F15" s="14"/>
      <c r="G15" s="12"/>
      <c r="H15" s="12"/>
      <c r="I15" s="12"/>
      <c r="J15" s="12"/>
    </row>
    <row r="16" ht="20.05" customHeight="1">
      <c r="B16" s="30"/>
      <c r="C16" s="13"/>
      <c r="D16" s="21">
        <f>'Model'!F6</f>
        <v>3.15681184</v>
      </c>
      <c r="E16" s="21"/>
      <c r="F16" s="21"/>
      <c r="G16" s="12"/>
      <c r="H16" s="12"/>
      <c r="I16" s="12"/>
      <c r="J16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1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1" customWidth="1"/>
    <col min="2" max="2" width="8.28906" style="31" customWidth="1"/>
    <col min="3" max="12" width="10.4297" style="31" customWidth="1"/>
    <col min="13" max="16384" width="16.3516" style="31" customWidth="1"/>
  </cols>
  <sheetData>
    <row r="1" ht="36.4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4">
        <v>1</v>
      </c>
      <c r="C3" t="s" s="4">
        <v>47</v>
      </c>
      <c r="D3" t="s" s="4">
        <v>48</v>
      </c>
      <c r="E3" t="s" s="4">
        <v>49</v>
      </c>
      <c r="F3" t="s" s="4">
        <v>50</v>
      </c>
      <c r="G3" t="s" s="4">
        <v>11</v>
      </c>
      <c r="H3" t="s" s="4">
        <v>12</v>
      </c>
      <c r="I3" t="s" s="4">
        <v>10</v>
      </c>
      <c r="J3" t="s" s="4">
        <v>51</v>
      </c>
      <c r="K3" t="s" s="4">
        <v>46</v>
      </c>
      <c r="L3" t="s" s="4">
        <v>29</v>
      </c>
    </row>
    <row r="4" ht="20.25" customHeight="1">
      <c r="B4" s="25">
        <v>2018</v>
      </c>
      <c r="C4" s="32">
        <v>40.358</v>
      </c>
      <c r="D4" s="33">
        <v>13.593</v>
      </c>
      <c r="E4" s="33">
        <v>-0.147</v>
      </c>
      <c r="F4" s="33">
        <v>-2.447</v>
      </c>
      <c r="G4" s="33">
        <f>I4-H4</f>
        <v>-11.069</v>
      </c>
      <c r="H4" s="33">
        <v>0</v>
      </c>
      <c r="I4" s="33">
        <v>-11.069</v>
      </c>
      <c r="J4" s="34">
        <f>D4+F4</f>
        <v>11.146</v>
      </c>
      <c r="K4" s="34">
        <f>AVERAGE(J4:J4)</f>
        <v>11.146</v>
      </c>
      <c r="L4" s="34">
        <f>-I4</f>
        <v>11.069</v>
      </c>
    </row>
    <row r="5" ht="20.05" customHeight="1">
      <c r="B5" s="29">
        <v>2019</v>
      </c>
      <c r="C5" s="17">
        <v>64.779</v>
      </c>
      <c r="D5" s="18">
        <v>9.776</v>
      </c>
      <c r="E5" s="18">
        <v>-0.334</v>
      </c>
      <c r="F5" s="18">
        <v>-17.05</v>
      </c>
      <c r="G5" s="18">
        <f>I5-H5</f>
        <v>0</v>
      </c>
      <c r="H5" s="18">
        <v>8.977</v>
      </c>
      <c r="I5" s="18">
        <v>8.977</v>
      </c>
      <c r="J5" s="35">
        <f>D5+F5</f>
        <v>-7.274</v>
      </c>
      <c r="K5" s="35">
        <f>AVERAGE(J4:J5)</f>
        <v>1.936</v>
      </c>
      <c r="L5" s="35">
        <f>-I5+L4</f>
        <v>2.092</v>
      </c>
    </row>
    <row r="6" ht="20.05" customHeight="1">
      <c r="B6" s="29">
        <v>2020</v>
      </c>
      <c r="C6" s="17">
        <v>6.48333333333333</v>
      </c>
      <c r="D6" s="18">
        <v>1.41966666666667</v>
      </c>
      <c r="E6" s="18">
        <v>-2.30733333333333</v>
      </c>
      <c r="F6" s="18">
        <v>-2.45633333333333</v>
      </c>
      <c r="G6" s="18">
        <f>I6-H6</f>
        <v>0</v>
      </c>
      <c r="H6" s="18">
        <v>2.25733333333333</v>
      </c>
      <c r="I6" s="18">
        <v>2.25733333333333</v>
      </c>
      <c r="J6" s="35">
        <f>D6+F6</f>
        <v>-1.03666666666666</v>
      </c>
      <c r="K6" s="35">
        <f>AVERAGE(J5:J6)</f>
        <v>-4.15533333333333</v>
      </c>
      <c r="L6" s="35">
        <f>-I6+L5</f>
        <v>-0.16533333333333</v>
      </c>
    </row>
    <row r="7" ht="20.05" customHeight="1">
      <c r="B7" s="30"/>
      <c r="C7" s="17">
        <v>6.48333333333333</v>
      </c>
      <c r="D7" s="18">
        <v>1.41966666666667</v>
      </c>
      <c r="E7" s="18">
        <v>-2.30733333333333</v>
      </c>
      <c r="F7" s="18">
        <v>-2.45633333333333</v>
      </c>
      <c r="G7" s="18">
        <f>I7-H7</f>
        <v>0</v>
      </c>
      <c r="H7" s="18">
        <v>2.25733333333333</v>
      </c>
      <c r="I7" s="18">
        <v>2.25733333333333</v>
      </c>
      <c r="J7" s="35">
        <f>D7+F7</f>
        <v>-1.03666666666666</v>
      </c>
      <c r="K7" s="35">
        <f>AVERAGE(J6:J7)</f>
        <v>-1.03666666666666</v>
      </c>
      <c r="L7" s="35">
        <f>-I7+L6</f>
        <v>-2.42266666666666</v>
      </c>
    </row>
    <row r="8" ht="20.05" customHeight="1">
      <c r="B8" s="30"/>
      <c r="C8" s="17">
        <v>6.48333333333333</v>
      </c>
      <c r="D8" s="18">
        <v>1.41966666666667</v>
      </c>
      <c r="E8" s="18">
        <v>-2.30733333333333</v>
      </c>
      <c r="F8" s="18">
        <v>-2.45633333333333</v>
      </c>
      <c r="G8" s="18">
        <f>I8-H8</f>
        <v>0</v>
      </c>
      <c r="H8" s="18">
        <v>2.25733333333333</v>
      </c>
      <c r="I8" s="18">
        <v>2.25733333333333</v>
      </c>
      <c r="J8" s="35">
        <f>D8+F8</f>
        <v>-1.03666666666666</v>
      </c>
      <c r="K8" s="35">
        <f>AVERAGE(J6:J8)</f>
        <v>-1.03666666666666</v>
      </c>
      <c r="L8" s="35">
        <f>-I8+L7</f>
        <v>-4.67999999999999</v>
      </c>
    </row>
    <row r="9" ht="20.05" customHeight="1">
      <c r="B9" s="30"/>
      <c r="C9" s="17">
        <v>2.69</v>
      </c>
      <c r="D9" s="18">
        <v>-4.379</v>
      </c>
      <c r="E9" s="18">
        <v>-0.065</v>
      </c>
      <c r="F9" s="18">
        <v>0.656</v>
      </c>
      <c r="G9" s="18">
        <f>I9-H9</f>
        <v>0</v>
      </c>
      <c r="H9" s="18">
        <v>0</v>
      </c>
      <c r="I9" s="18">
        <v>0</v>
      </c>
      <c r="J9" s="35">
        <f>D9+F9</f>
        <v>-3.723</v>
      </c>
      <c r="K9" s="35">
        <f>AVERAGE(J6:J9)</f>
        <v>-1.70825</v>
      </c>
      <c r="L9" s="35">
        <f>-I9+L8</f>
        <v>-4.67999999999999</v>
      </c>
    </row>
    <row r="10" ht="20.05" customHeight="1">
      <c r="B10" s="29">
        <v>2021</v>
      </c>
      <c r="C10" s="17">
        <v>2.54566666666667</v>
      </c>
      <c r="D10" s="18">
        <v>3.198</v>
      </c>
      <c r="E10" s="18">
        <v>-7.16666666666667</v>
      </c>
      <c r="F10" s="18">
        <v>-7.132</v>
      </c>
      <c r="G10" s="18">
        <f>I10-H10</f>
        <v>0</v>
      </c>
      <c r="H10" s="18">
        <v>3.55566666666667</v>
      </c>
      <c r="I10" s="18">
        <v>3.55566666666667</v>
      </c>
      <c r="J10" s="35">
        <f>D10+F10</f>
        <v>-3.934</v>
      </c>
      <c r="K10" s="18">
        <f>AVERAGE(J6:J10)</f>
        <v>-2.1534</v>
      </c>
      <c r="L10" s="35">
        <f>-I10+L9</f>
        <v>-8.23566666666666</v>
      </c>
    </row>
    <row r="11" ht="20.05" customHeight="1">
      <c r="B11" s="30"/>
      <c r="C11" s="17">
        <v>2.54566666666667</v>
      </c>
      <c r="D11" s="18">
        <v>3.198</v>
      </c>
      <c r="E11" s="18">
        <v>-7.16666666666667</v>
      </c>
      <c r="F11" s="18">
        <v>-7.132</v>
      </c>
      <c r="G11" s="18">
        <f>I11-H11</f>
        <v>0</v>
      </c>
      <c r="H11" s="18">
        <v>3.55566666666667</v>
      </c>
      <c r="I11" s="18">
        <v>3.55566666666667</v>
      </c>
      <c r="J11" s="35">
        <f>D11+F11</f>
        <v>-3.934</v>
      </c>
      <c r="K11" s="18">
        <f>AVERAGE(J7:J11)</f>
        <v>-2.73286666666666</v>
      </c>
      <c r="L11" s="35">
        <f>-I11+L10</f>
        <v>-11.7913333333333</v>
      </c>
    </row>
    <row r="12" ht="20.05" customHeight="1">
      <c r="B12" s="30"/>
      <c r="C12" s="17">
        <v>2.54566666666667</v>
      </c>
      <c r="D12" s="18">
        <v>3.198</v>
      </c>
      <c r="E12" s="18">
        <v>-7.16666666666667</v>
      </c>
      <c r="F12" s="18">
        <v>-7.132</v>
      </c>
      <c r="G12" s="18">
        <f>I12-H12</f>
        <v>0</v>
      </c>
      <c r="H12" s="18">
        <v>3.55566666666667</v>
      </c>
      <c r="I12" s="18">
        <v>3.55566666666667</v>
      </c>
      <c r="J12" s="35">
        <f>D12+F12</f>
        <v>-3.934</v>
      </c>
      <c r="K12" s="18">
        <f>AVERAGE(J8:J12)</f>
        <v>-3.31233333333333</v>
      </c>
      <c r="L12" s="35">
        <f>-I12+L11</f>
        <v>-15.347</v>
      </c>
    </row>
    <row r="13" ht="20.05" customHeight="1">
      <c r="B13" s="30"/>
      <c r="C13" s="17"/>
      <c r="D13" s="18"/>
      <c r="E13" s="18"/>
      <c r="F13" s="18"/>
      <c r="G13" s="18"/>
      <c r="H13" s="18"/>
      <c r="I13" s="18"/>
      <c r="J13" s="18"/>
      <c r="K13" s="18">
        <f>SUM('Model'!F9:F10)</f>
        <v>-0.22778666094818</v>
      </c>
      <c r="L13" s="18">
        <f>'Model'!F32</f>
        <v>-16.2273231340275</v>
      </c>
    </row>
  </sheetData>
  <mergeCells count="1">
    <mergeCell ref="B2:L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6" customWidth="1"/>
    <col min="2" max="2" width="8.58594" style="36" customWidth="1"/>
    <col min="3" max="11" width="9.39062" style="36" customWidth="1"/>
    <col min="12" max="16384" width="16.3516" style="36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52</v>
      </c>
      <c r="D3" t="s" s="4">
        <v>53</v>
      </c>
      <c r="E3" t="s" s="4">
        <v>22</v>
      </c>
      <c r="F3" t="s" s="4">
        <v>23</v>
      </c>
      <c r="G3" t="s" s="4">
        <v>11</v>
      </c>
      <c r="H3" t="s" s="4">
        <v>25</v>
      </c>
      <c r="I3" t="s" s="4">
        <v>54</v>
      </c>
      <c r="J3" t="s" s="4">
        <v>27</v>
      </c>
      <c r="K3" t="s" s="4">
        <v>35</v>
      </c>
    </row>
    <row r="4" ht="20.25" customHeight="1">
      <c r="B4" s="25">
        <v>2018</v>
      </c>
      <c r="C4" s="32">
        <v>0.631</v>
      </c>
      <c r="D4" s="33">
        <v>42.219</v>
      </c>
      <c r="E4" s="33">
        <f>D4-C4</f>
        <v>41.588</v>
      </c>
      <c r="F4" s="34">
        <v>0.352</v>
      </c>
      <c r="G4" s="33">
        <v>24.511</v>
      </c>
      <c r="H4" s="33">
        <v>17.708</v>
      </c>
      <c r="I4" s="33">
        <f>G4+H4-C4-E4</f>
        <v>0</v>
      </c>
      <c r="J4" s="33">
        <f>C4-G4</f>
        <v>-23.88</v>
      </c>
      <c r="K4" s="33"/>
    </row>
    <row r="5" ht="20.05" customHeight="1">
      <c r="B5" s="29">
        <v>2019</v>
      </c>
      <c r="C5" s="17">
        <v>2.334</v>
      </c>
      <c r="D5" s="18">
        <v>59.245</v>
      </c>
      <c r="E5" s="18">
        <f>D5-C5</f>
        <v>56.911</v>
      </c>
      <c r="F5" s="18">
        <v>0.544</v>
      </c>
      <c r="G5" s="18">
        <v>19.735</v>
      </c>
      <c r="H5" s="18">
        <v>39.51</v>
      </c>
      <c r="I5" s="18">
        <f>G5+H5-C5-E5</f>
        <v>0</v>
      </c>
      <c r="J5" s="18">
        <f>C5-G5</f>
        <v>-17.401</v>
      </c>
      <c r="K5" s="21"/>
    </row>
    <row r="6" ht="20.05" customHeight="1">
      <c r="B6" s="29">
        <v>2020</v>
      </c>
      <c r="C6" s="17">
        <v>2.274</v>
      </c>
      <c r="D6" s="18">
        <v>63.861</v>
      </c>
      <c r="E6" s="18">
        <f>D6-C6</f>
        <v>61.587</v>
      </c>
      <c r="F6" s="35">
        <v>0.79</v>
      </c>
      <c r="G6" s="18">
        <v>18.859</v>
      </c>
      <c r="H6" s="18">
        <v>45.002</v>
      </c>
      <c r="I6" s="18">
        <f>G6+H6-C6-E6</f>
        <v>0</v>
      </c>
      <c r="J6" s="18">
        <f>C6-G6</f>
        <v>-16.585</v>
      </c>
      <c r="K6" s="21"/>
    </row>
    <row r="7" ht="20.05" customHeight="1">
      <c r="B7" s="29">
        <v>2021</v>
      </c>
      <c r="C7" s="17">
        <v>1.138</v>
      </c>
      <c r="D7" s="18">
        <v>64.396</v>
      </c>
      <c r="E7" s="18">
        <f>D7-C7</f>
        <v>63.258</v>
      </c>
      <c r="F7" s="35">
        <f>F6+'Sales'!E12</f>
        <v>0.9370000000000001</v>
      </c>
      <c r="G7" s="18">
        <v>15.141</v>
      </c>
      <c r="H7" s="18">
        <v>49.255</v>
      </c>
      <c r="I7" s="18">
        <f>G7+H7-C7-E7</f>
        <v>0</v>
      </c>
      <c r="J7" s="18">
        <f>C7-G7</f>
        <v>-14.003</v>
      </c>
      <c r="K7" s="35">
        <f>J7</f>
        <v>-14.003</v>
      </c>
    </row>
    <row r="8" ht="20.05" customHeight="1">
      <c r="B8" s="30"/>
      <c r="C8" s="17"/>
      <c r="D8" s="18"/>
      <c r="E8" s="18"/>
      <c r="F8" s="21"/>
      <c r="G8" s="18"/>
      <c r="H8" s="18"/>
      <c r="I8" s="18"/>
      <c r="J8" s="18"/>
      <c r="K8" s="35">
        <f>'Model'!F30</f>
        <v>-14.8833231340274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08594" style="37" customWidth="1"/>
    <col min="2" max="2" width="12.875" style="37" customWidth="1"/>
    <col min="3" max="4" width="9.90625" style="37" customWidth="1"/>
    <col min="5" max="16384" width="16.3516" style="37" customWidth="1"/>
  </cols>
  <sheetData>
    <row r="1" ht="7.15" customHeight="1"/>
    <row r="2" ht="27.65" customHeight="1">
      <c r="B2" t="s" s="2">
        <v>55</v>
      </c>
      <c r="C2" s="2"/>
      <c r="D2" s="2"/>
    </row>
    <row r="3" ht="20.25" customHeight="1">
      <c r="B3" s="38"/>
      <c r="C3" t="s" s="4">
        <v>56</v>
      </c>
      <c r="D3" t="s" s="4">
        <v>38</v>
      </c>
    </row>
    <row r="4" ht="20.25" customHeight="1">
      <c r="B4" s="25">
        <v>2021</v>
      </c>
      <c r="C4" s="32"/>
      <c r="D4" s="8"/>
    </row>
    <row r="5" ht="20.05" customHeight="1">
      <c r="B5" s="30"/>
      <c r="C5" s="17">
        <v>242</v>
      </c>
      <c r="D5" s="22"/>
    </row>
    <row r="6" ht="20.05" customHeight="1">
      <c r="B6" s="30"/>
      <c r="C6" s="17">
        <v>165</v>
      </c>
      <c r="D6" s="22"/>
    </row>
    <row r="7" ht="20.05" customHeight="1">
      <c r="B7" s="30"/>
      <c r="C7" s="17">
        <v>130</v>
      </c>
      <c r="D7" s="22"/>
    </row>
    <row r="8" ht="20.05" customHeight="1">
      <c r="B8" s="29">
        <v>2022</v>
      </c>
      <c r="C8" s="17">
        <v>128</v>
      </c>
      <c r="D8" s="21">
        <f>C8</f>
        <v>128</v>
      </c>
    </row>
    <row r="9" ht="20.05" customHeight="1">
      <c r="B9" s="30"/>
      <c r="C9" s="17"/>
      <c r="D9" s="21">
        <f>'Model'!F42</f>
        <v>72.742506366836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