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<sst xmlns="http://schemas.openxmlformats.org/spreadsheetml/2006/main" uniqueCount="56">
  <si>
    <t>Financial model</t>
  </si>
  <si>
    <t>$m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</si>
  <si>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</si>
  <si>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</si>
  <si>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</si>
  <si>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</si>
  <si>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</si>
  <si>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</si>
  <si>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</si>
  <si>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</si>
  <si>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</si>
  <si>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</si>
  <si>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</si>
  <si>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</si>
  <si>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</si>
  <si>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</si>
  <si>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</si>
  <si>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</si>
  <si>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</si>
  <si>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</si>
  <si>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</si>
  <si>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</si>
  <si>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</si>
  <si>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</si>
  <si>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</si>
  <si>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</si>
  <si>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</si>
  <si>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</si>
  <si>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</si>
  <si>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</si>
  <si>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</si>
  <si>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</si>
  <si>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</si>
  <si>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</si>
  <si>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</si>
  <si>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</si>
  <si>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</si>
  <si>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</si>
  <si>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</si>
  <si>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</si>
  <si>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</si>
  <si>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Cash costs ratio </t>
  </si>
  <si>
    <t xml:space="preserve">Costs </t>
  </si>
  <si>
    <t>Cashflow</t>
  </si>
  <si>
    <t>Profit</t>
  </si>
  <si>
    <t xml:space="preserve">Working capital </t>
  </si>
  <si>
    <t>PPE</t>
  </si>
  <si>
    <t xml:space="preserve">Free cashflow </t>
  </si>
  <si>
    <t xml:space="preserve">Cash </t>
  </si>
  <si>
    <t>Assets</t>
  </si>
  <si>
    <t xml:space="preserve">Other assets </t>
  </si>
  <si>
    <t>Check</t>
  </si>
  <si>
    <t>Net cash</t>
  </si>
  <si>
    <t>Share price</t>
  </si>
  <si>
    <t>GOOG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</si>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</sst>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660623</xdr:colOff>
      <xdr:row>2</xdr:row>
      <xdr:rowOff>131018</xdr:rowOff>
    </xdr:from>
    <xdr:to>
      <xdr:col>13</xdr:col>
      <xdr:colOff>178452</xdr:colOff>
      <xdr:row>45</xdr:row>
      <xdr:rowOff>106112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40523" y="638383"/>
          <a:ext cx="8230030" cy="109294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9062" style="1" customWidth="1"/>
    <col min="2" max="2" width="14.8281" style="1" customWidth="1"/>
    <col min="3" max="6" width="9" style="1" customWidth="1"/>
    <col min="7" max="16384" width="16.3516" style="1" customWidth="1"/>
  </cols>
  <sheetData>
    <row r="1" ht="12.3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AVERAGE('Sales'!D22:D25)</f>
        <v>0.09386763080838879</v>
      </c>
      <c r="D4" s="9"/>
      <c r="E4" s="9"/>
      <c r="F4" s="10">
        <f>AVERAGE(C5:F5)</f>
        <v>0.045</v>
      </c>
    </row>
    <row r="5" ht="20.05" customHeight="1">
      <c r="B5" t="s" s="11">
        <v>4</v>
      </c>
      <c r="C5" s="12">
        <v>0.14</v>
      </c>
      <c r="D5" s="13">
        <v>-0.05</v>
      </c>
      <c r="E5" s="13">
        <v>0.05</v>
      </c>
      <c r="F5" s="13">
        <v>0.04</v>
      </c>
    </row>
    <row r="6" ht="20.05" customHeight="1">
      <c r="B6" t="s" s="11">
        <v>5</v>
      </c>
      <c r="C6" s="14">
        <f>'Sales'!B25*(1+C5)</f>
        <v>74234.52</v>
      </c>
      <c r="D6" s="15">
        <f>C6*(1+D5)</f>
        <v>70522.793999999994</v>
      </c>
      <c r="E6" s="15">
        <f>D6*(1+E5)</f>
        <v>74048.933699999994</v>
      </c>
      <c r="F6" s="15">
        <f>E6*(1+F5)</f>
        <v>77010.891048</v>
      </c>
    </row>
    <row r="7" ht="20.05" customHeight="1">
      <c r="B7" t="s" s="11">
        <v>6</v>
      </c>
      <c r="C7" s="16">
        <f>AVERAGE('Sales'!E25)</f>
        <v>-0.6939863017905959</v>
      </c>
      <c r="D7" s="17">
        <f>C7</f>
        <v>-0.6939863017905959</v>
      </c>
      <c r="E7" s="17">
        <f>D7</f>
        <v>-0.6939863017905959</v>
      </c>
      <c r="F7" s="17">
        <f>E7</f>
        <v>-0.6939863017905959</v>
      </c>
    </row>
    <row r="8" ht="20.05" customHeight="1">
      <c r="B8" t="s" s="11">
        <v>7</v>
      </c>
      <c r="C8" s="18">
        <f>C6*C7</f>
        <v>-51517.74</v>
      </c>
      <c r="D8" s="19">
        <f>D6*D7</f>
        <v>-48941.853</v>
      </c>
      <c r="E8" s="19">
        <f>E6*E7</f>
        <v>-51388.94565</v>
      </c>
      <c r="F8" s="19">
        <f>F6*F7</f>
        <v>-53444.503476</v>
      </c>
    </row>
    <row r="9" ht="20.05" customHeight="1">
      <c r="B9" t="s" s="11">
        <v>8</v>
      </c>
      <c r="C9" s="18">
        <f>C6+C8</f>
        <v>22716.78</v>
      </c>
      <c r="D9" s="19">
        <f>D6+D8</f>
        <v>21580.941</v>
      </c>
      <c r="E9" s="19">
        <f>E6+E8</f>
        <v>22659.98805</v>
      </c>
      <c r="F9" s="19">
        <f>F6+F8</f>
        <v>23566.387572</v>
      </c>
    </row>
    <row r="10" ht="20.05" customHeight="1">
      <c r="B10" t="s" s="11">
        <v>9</v>
      </c>
      <c r="C10" s="18">
        <f>AVERAGE('Cashflow '!F26)</f>
        <v>-6819</v>
      </c>
      <c r="D10" s="19">
        <f>C10</f>
        <v>-6819</v>
      </c>
      <c r="E10" s="19">
        <f>D10</f>
        <v>-6819</v>
      </c>
      <c r="F10" s="19">
        <f>E10</f>
        <v>-6819</v>
      </c>
    </row>
    <row r="11" ht="20.05" customHeight="1">
      <c r="B11" t="s" s="11">
        <v>10</v>
      </c>
      <c r="C11" s="18">
        <f>C12+C13+C15</f>
        <v>-14601.69</v>
      </c>
      <c r="D11" s="19">
        <f>D12+D13+D15</f>
        <v>-13776.6805</v>
      </c>
      <c r="E11" s="19">
        <f>E12+E13+E15</f>
        <v>-14071.968525</v>
      </c>
      <c r="F11" s="19">
        <f>F12+F13+F15</f>
        <v>-14293.144561</v>
      </c>
    </row>
    <row r="12" ht="20.05" customHeight="1">
      <c r="B12" t="s" s="11">
        <v>11</v>
      </c>
      <c r="C12" s="18">
        <f>-'Balance sheet'!G26/20</f>
        <v>-5141.8</v>
      </c>
      <c r="D12" s="19">
        <f>-C26/20</f>
        <v>-4884.71</v>
      </c>
      <c r="E12" s="19">
        <f>-D26/20</f>
        <v>-4640.4745</v>
      </c>
      <c r="F12" s="19">
        <f>-E26/20</f>
        <v>-4408.450775</v>
      </c>
    </row>
    <row r="13" ht="20.05" customHeight="1">
      <c r="B13" t="s" s="11">
        <v>12</v>
      </c>
      <c r="C13" s="18">
        <f>IF(C21&gt;0,-C21*0.5,0)</f>
        <v>-9459.889999999999</v>
      </c>
      <c r="D13" s="19">
        <f>IF(D21&gt;0,-D21*0.5,0)</f>
        <v>-8891.970499999999</v>
      </c>
      <c r="E13" s="19">
        <f>IF(E21&gt;0,-E21*0.5,0)</f>
        <v>-9431.494025</v>
      </c>
      <c r="F13" s="19">
        <f>IF(F21&gt;0,-F21*0.5,0)</f>
        <v>-9884.693786</v>
      </c>
    </row>
    <row r="14" ht="20.05" customHeight="1">
      <c r="B14" t="s" s="11">
        <v>13</v>
      </c>
      <c r="C14" s="18">
        <f>C9+C10+C12+C13</f>
        <v>1296.09</v>
      </c>
      <c r="D14" s="19">
        <f>D9+D10+D12+D13</f>
        <v>985.2605</v>
      </c>
      <c r="E14" s="19">
        <f>E9+E10+E12+E13</f>
        <v>1769.019525</v>
      </c>
      <c r="F14" s="19">
        <f>F9+F10+F12+F13</f>
        <v>2454.243011</v>
      </c>
    </row>
    <row r="15" ht="20.05" customHeight="1">
      <c r="B15" t="s" s="11">
        <v>14</v>
      </c>
      <c r="C15" s="18">
        <f>-MIN(0,C14)</f>
        <v>0</v>
      </c>
      <c r="D15" s="19">
        <f>-MIN(C27,D14)</f>
        <v>0</v>
      </c>
      <c r="E15" s="19">
        <f>-MIN(D27,E14)</f>
        <v>0</v>
      </c>
      <c r="F15" s="19">
        <f>-MIN(E27,F14)</f>
        <v>0</v>
      </c>
    </row>
    <row r="16" ht="20.05" customHeight="1">
      <c r="B16" t="s" s="11">
        <v>15</v>
      </c>
      <c r="C16" s="18">
        <f>'Balance sheet'!C26</f>
        <v>23719</v>
      </c>
      <c r="D16" s="19">
        <f>C18</f>
        <v>25015.09</v>
      </c>
      <c r="E16" s="19">
        <f>D18</f>
        <v>26000.3505</v>
      </c>
      <c r="F16" s="19">
        <f>E18</f>
        <v>27769.370025</v>
      </c>
    </row>
    <row r="17" ht="20.05" customHeight="1">
      <c r="B17" t="s" s="11">
        <v>16</v>
      </c>
      <c r="C17" s="18">
        <f>C9+C10+C11</f>
        <v>1296.09</v>
      </c>
      <c r="D17" s="19">
        <f>D9+D10+D11</f>
        <v>985.2605</v>
      </c>
      <c r="E17" s="19">
        <f>E9+E10+E11</f>
        <v>1769.019525</v>
      </c>
      <c r="F17" s="19">
        <f>F9+F10+F11</f>
        <v>2454.243011</v>
      </c>
    </row>
    <row r="18" ht="20.05" customHeight="1">
      <c r="B18" t="s" s="11">
        <v>17</v>
      </c>
      <c r="C18" s="18">
        <f>C16+C17</f>
        <v>25015.09</v>
      </c>
      <c r="D18" s="19">
        <f>D16+D17</f>
        <v>26000.3505</v>
      </c>
      <c r="E18" s="19">
        <f>E16+E17</f>
        <v>27769.370025</v>
      </c>
      <c r="F18" s="19">
        <f>F16+F17</f>
        <v>30223.613036</v>
      </c>
    </row>
    <row r="19" ht="20.05" customHeight="1">
      <c r="B19" t="s" s="20">
        <v>18</v>
      </c>
      <c r="C19" s="18"/>
      <c r="D19" s="19"/>
      <c r="E19" s="19"/>
      <c r="F19" s="21"/>
    </row>
    <row r="20" ht="20.05" customHeight="1">
      <c r="B20" t="s" s="11">
        <v>19</v>
      </c>
      <c r="C20" s="18">
        <f>-AVERAGE('Cashflow '!D26)</f>
        <v>-3797</v>
      </c>
      <c r="D20" s="19">
        <f>C20</f>
        <v>-3797</v>
      </c>
      <c r="E20" s="19">
        <f>D20</f>
        <v>-3797</v>
      </c>
      <c r="F20" s="19">
        <f>E20</f>
        <v>-3797</v>
      </c>
    </row>
    <row r="21" ht="20.05" customHeight="1">
      <c r="B21" t="s" s="11">
        <v>18</v>
      </c>
      <c r="C21" s="18">
        <f>C6+C8+C20</f>
        <v>18919.78</v>
      </c>
      <c r="D21" s="19">
        <f>D6+D8+D20</f>
        <v>17783.941</v>
      </c>
      <c r="E21" s="19">
        <f>E6+E8+E20</f>
        <v>18862.98805</v>
      </c>
      <c r="F21" s="19">
        <f>F6+F8+F20</f>
        <v>19769.387572</v>
      </c>
    </row>
    <row r="22" ht="20.05" customHeight="1">
      <c r="B22" t="s" s="20">
        <v>20</v>
      </c>
      <c r="C22" s="18"/>
      <c r="D22" s="19"/>
      <c r="E22" s="19"/>
      <c r="F22" s="19"/>
    </row>
    <row r="23" ht="20.05" customHeight="1">
      <c r="B23" t="s" s="11">
        <v>21</v>
      </c>
      <c r="C23" s="18">
        <f>'Balance sheet'!E26+'Balance sheet'!F26-C10</f>
        <v>424283</v>
      </c>
      <c r="D23" s="19">
        <f>C23-D10</f>
        <v>431102</v>
      </c>
      <c r="E23" s="19">
        <f>D23-E10</f>
        <v>437921</v>
      </c>
      <c r="F23" s="19">
        <f>E23-F10</f>
        <v>444740</v>
      </c>
    </row>
    <row r="24" ht="20.05" customHeight="1">
      <c r="B24" t="s" s="11">
        <v>22</v>
      </c>
      <c r="C24" s="18">
        <f>'Balance sheet'!F26-C20</f>
        <v>97577</v>
      </c>
      <c r="D24" s="19">
        <f>C24-D20</f>
        <v>101374</v>
      </c>
      <c r="E24" s="19">
        <f>D24-E20</f>
        <v>105171</v>
      </c>
      <c r="F24" s="19">
        <f>E24-F20</f>
        <v>108968</v>
      </c>
    </row>
    <row r="25" ht="20.05" customHeight="1">
      <c r="B25" t="s" s="11">
        <v>23</v>
      </c>
      <c r="C25" s="18">
        <f>C23-C24</f>
        <v>326706</v>
      </c>
      <c r="D25" s="19">
        <f>D23-D24</f>
        <v>329728</v>
      </c>
      <c r="E25" s="19">
        <f>E23-E24</f>
        <v>332750</v>
      </c>
      <c r="F25" s="19">
        <f>F23-F24</f>
        <v>335772</v>
      </c>
    </row>
    <row r="26" ht="20.05" customHeight="1">
      <c r="B26" t="s" s="11">
        <v>11</v>
      </c>
      <c r="C26" s="18">
        <f>'Balance sheet'!G26+C12</f>
        <v>97694.2</v>
      </c>
      <c r="D26" s="19">
        <f>C26+D12</f>
        <v>92809.490000000005</v>
      </c>
      <c r="E26" s="19">
        <f>D26+E12</f>
        <v>88169.015499999994</v>
      </c>
      <c r="F26" s="19">
        <f>E26+F12</f>
        <v>83760.564725</v>
      </c>
    </row>
    <row r="27" ht="20.05" customHeight="1">
      <c r="B27" t="s" s="11">
        <v>14</v>
      </c>
      <c r="C27" s="18">
        <f>C15</f>
        <v>0</v>
      </c>
      <c r="D27" s="19">
        <f>C27+D15</f>
        <v>0</v>
      </c>
      <c r="E27" s="19">
        <f>D27+E15</f>
        <v>0</v>
      </c>
      <c r="F27" s="19">
        <f>E27+F15</f>
        <v>0</v>
      </c>
    </row>
    <row r="28" ht="20.05" customHeight="1">
      <c r="B28" t="s" s="11">
        <v>12</v>
      </c>
      <c r="C28" s="18">
        <f>'Balance sheet'!H26+C21+C13</f>
        <v>254026.89</v>
      </c>
      <c r="D28" s="19">
        <f>C28+D13+D21</f>
        <v>262918.8605</v>
      </c>
      <c r="E28" s="19">
        <f>D28+E13+E21</f>
        <v>272350.354525</v>
      </c>
      <c r="F28" s="19">
        <f>E28+F13+F21</f>
        <v>282235.048311</v>
      </c>
    </row>
    <row r="29" ht="20.05" customHeight="1">
      <c r="B29" t="s" s="11">
        <v>24</v>
      </c>
      <c r="C29" s="18">
        <f>C26+C27+C28-C18-C25</f>
        <v>0</v>
      </c>
      <c r="D29" s="19">
        <f>D26+D27+D28-D18-D25</f>
        <v>0</v>
      </c>
      <c r="E29" s="19">
        <f>E26+E27+E28-E18-E25</f>
        <v>0</v>
      </c>
      <c r="F29" s="19">
        <f>F26+F27+F28-F18-F25</f>
        <v>0</v>
      </c>
    </row>
    <row r="30" ht="20.05" customHeight="1">
      <c r="B30" t="s" s="11">
        <v>25</v>
      </c>
      <c r="C30" s="18">
        <f>C18-C26-C27</f>
        <v>-72679.11</v>
      </c>
      <c r="D30" s="19">
        <f>D18-D26-D27</f>
        <v>-66809.1395</v>
      </c>
      <c r="E30" s="19">
        <f>E18-E26-E27</f>
        <v>-60399.645475</v>
      </c>
      <c r="F30" s="19">
        <f>F18-F26-F27</f>
        <v>-53536.951689</v>
      </c>
    </row>
    <row r="31" ht="20.05" customHeight="1">
      <c r="B31" t="s" s="11">
        <v>26</v>
      </c>
      <c r="C31" s="18"/>
      <c r="D31" s="19"/>
      <c r="E31" s="19"/>
      <c r="F31" s="19"/>
    </row>
    <row r="32" ht="20.05" customHeight="1">
      <c r="B32" t="s" s="11">
        <v>27</v>
      </c>
      <c r="C32" s="18">
        <f>'Cashflow '!L26-C11</f>
        <v>136878.69</v>
      </c>
      <c r="D32" s="19">
        <f>C32-D11</f>
        <v>150655.3705</v>
      </c>
      <c r="E32" s="19">
        <f>D32-E11</f>
        <v>164727.339025</v>
      </c>
      <c r="F32" s="19">
        <f>E32-F11</f>
        <v>179020.483586</v>
      </c>
    </row>
    <row r="33" ht="20.05" customHeight="1">
      <c r="B33" t="s" s="11">
        <v>28</v>
      </c>
      <c r="C33" s="18"/>
      <c r="D33" s="19"/>
      <c r="E33" s="19"/>
      <c r="F33" s="19">
        <v>1950000</v>
      </c>
    </row>
    <row r="34" ht="20.05" customHeight="1">
      <c r="B34" t="s" s="11">
        <v>29</v>
      </c>
      <c r="C34" s="18"/>
      <c r="D34" s="19"/>
      <c r="E34" s="19"/>
      <c r="F34" s="22">
        <f>F33/(F18+F25)</f>
        <v>5.32793271434156</v>
      </c>
    </row>
    <row r="35" ht="20.05" customHeight="1">
      <c r="B35" t="s" s="11">
        <v>30</v>
      </c>
      <c r="C35" s="18"/>
      <c r="D35" s="19"/>
      <c r="E35" s="19"/>
      <c r="F35" s="17">
        <f>-(C13+D13+E13+F13)/F33</f>
        <v>0.0193169478517949</v>
      </c>
    </row>
    <row r="36" ht="20.05" customHeight="1">
      <c r="B36" t="s" s="11">
        <v>3</v>
      </c>
      <c r="C36" s="18"/>
      <c r="D36" s="19"/>
      <c r="E36" s="19"/>
      <c r="F36" s="19">
        <f>SUM(C9:F10)</f>
        <v>63248.096622</v>
      </c>
    </row>
    <row r="37" ht="20.05" customHeight="1">
      <c r="B37" t="s" s="11">
        <v>31</v>
      </c>
      <c r="C37" s="18"/>
      <c r="D37" s="19"/>
      <c r="E37" s="19"/>
      <c r="F37" s="22">
        <f>'Balance sheet'!E25/F36</f>
        <v>4.9291127583365</v>
      </c>
    </row>
    <row r="38" ht="20.05" customHeight="1">
      <c r="B38" t="s" s="11">
        <v>26</v>
      </c>
      <c r="C38" s="18"/>
      <c r="D38" s="19"/>
      <c r="E38" s="19"/>
      <c r="F38" s="19">
        <f>F33/F36</f>
        <v>30.8309673199196</v>
      </c>
    </row>
    <row r="39" ht="20.05" customHeight="1">
      <c r="B39" t="s" s="11">
        <v>32</v>
      </c>
      <c r="C39" s="18"/>
      <c r="D39" s="19"/>
      <c r="E39" s="19"/>
      <c r="F39" s="19">
        <v>34</v>
      </c>
    </row>
    <row r="40" ht="20.05" customHeight="1">
      <c r="B40" t="s" s="11">
        <v>33</v>
      </c>
      <c r="C40" s="18"/>
      <c r="D40" s="19"/>
      <c r="E40" s="19"/>
      <c r="F40" s="19">
        <f>F36*F39</f>
        <v>2150435.285148</v>
      </c>
    </row>
    <row r="41" ht="20.05" customHeight="1">
      <c r="B41" t="s" s="11">
        <v>34</v>
      </c>
      <c r="C41" s="18"/>
      <c r="D41" s="19"/>
      <c r="E41" s="19"/>
      <c r="F41" s="19">
        <f>F33/F43</f>
        <v>665.858530672176</v>
      </c>
    </row>
    <row r="42" ht="20.05" customHeight="1">
      <c r="B42" t="s" s="11">
        <v>35</v>
      </c>
      <c r="C42" s="18"/>
      <c r="D42" s="19"/>
      <c r="E42" s="19"/>
      <c r="F42" s="19">
        <f>F40/F41</f>
        <v>3229.567822728290</v>
      </c>
    </row>
    <row r="43" ht="20.05" customHeight="1">
      <c r="B43" t="s" s="11">
        <v>36</v>
      </c>
      <c r="C43" s="18"/>
      <c r="D43" s="19"/>
      <c r="E43" s="19"/>
      <c r="F43" s="19">
        <f>'Share price '!B72</f>
        <v>2928.55</v>
      </c>
    </row>
    <row r="44" ht="20.05" customHeight="1">
      <c r="B44" t="s" s="11">
        <v>37</v>
      </c>
      <c r="C44" s="18"/>
      <c r="D44" s="19"/>
      <c r="E44" s="19"/>
      <c r="F44" s="17">
        <f>F42/F43-1</f>
        <v>0.102787325716921</v>
      </c>
    </row>
    <row r="45" ht="20.05" customHeight="1">
      <c r="B45" t="s" s="11">
        <v>38</v>
      </c>
      <c r="C45" s="18"/>
      <c r="D45" s="19"/>
      <c r="E45" s="19"/>
      <c r="F45" s="17">
        <f>'Sales'!B25/'Sales'!B21-1</f>
        <v>0.410304723539731</v>
      </c>
    </row>
    <row r="46" ht="20.05" customHeight="1">
      <c r="B46" t="s" s="11">
        <v>39</v>
      </c>
      <c r="C46" s="18"/>
      <c r="D46" s="19"/>
      <c r="E46" s="19"/>
      <c r="F46" s="17">
        <f>('Sales'!C22+'Sales'!C23+'Sales'!C24+'Sales'!C25)/('Sales'!B22+'Sales'!B23+'Sales'!B24+'Sales'!B25)-1</f>
        <v>-0.0630142970611597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6" width="11.8672" style="23" customWidth="1"/>
    <col min="7" max="16384" width="16.3516" style="23" customWidth="1"/>
  </cols>
  <sheetData>
    <row r="1" ht="27.65" customHeight="1">
      <c r="A1" t="s" s="2">
        <v>5</v>
      </c>
      <c r="B1" s="2"/>
      <c r="C1" s="2"/>
      <c r="D1" s="2"/>
      <c r="E1" s="2"/>
      <c r="F1" s="2"/>
    </row>
    <row r="2" ht="32.25" customHeight="1">
      <c r="A2" t="s" s="4">
        <v>1</v>
      </c>
      <c r="B2" t="s" s="4">
        <v>5</v>
      </c>
      <c r="C2" t="s" s="4">
        <v>32</v>
      </c>
      <c r="D2" t="s" s="4">
        <v>40</v>
      </c>
      <c r="E2" t="s" s="4">
        <v>41</v>
      </c>
      <c r="F2" t="s" s="4">
        <v>42</v>
      </c>
    </row>
    <row r="3" ht="20.25" customHeight="1">
      <c r="A3" s="24">
        <v>2016</v>
      </c>
      <c r="B3" s="25">
        <v>20257</v>
      </c>
      <c r="C3" s="26"/>
      <c r="D3" s="27"/>
      <c r="E3" s="10">
        <f>('Cashflow '!C4+'Cashflow '!D4-'Cashflow '!E4-B3)/B3</f>
        <v>-0.604976057659081</v>
      </c>
      <c r="F3" s="27"/>
    </row>
    <row r="4" ht="20.05" customHeight="1">
      <c r="A4" s="28"/>
      <c r="B4" s="14">
        <v>21500</v>
      </c>
      <c r="C4" s="15"/>
      <c r="D4" s="17">
        <f>B4/B3-1</f>
        <v>0.0613615046650541</v>
      </c>
      <c r="E4" s="13">
        <f>('Cashflow '!C5+'Cashflow '!D5-'Cashflow '!E5-B4)/B4</f>
        <v>-0.69293023255814</v>
      </c>
      <c r="F4" s="17"/>
    </row>
    <row r="5" ht="20.05" customHeight="1">
      <c r="A5" s="28"/>
      <c r="B5" s="14">
        <v>22451</v>
      </c>
      <c r="C5" s="15"/>
      <c r="D5" s="17">
        <f>B5/B4-1</f>
        <v>0.0442325581395349</v>
      </c>
      <c r="E5" s="13">
        <f>('Cashflow '!C6+'Cashflow '!D6-'Cashflow '!E6-B5)/B5</f>
        <v>-0.707318159547459</v>
      </c>
      <c r="F5" s="17"/>
    </row>
    <row r="6" ht="20.05" customHeight="1">
      <c r="A6" s="28"/>
      <c r="B6" s="14">
        <v>26064</v>
      </c>
      <c r="C6" s="15"/>
      <c r="D6" s="17">
        <f>B6/B5-1</f>
        <v>0.160928243730792</v>
      </c>
      <c r="E6" s="13">
        <f>('Cashflow '!C7+'Cashflow '!D7-'Cashflow '!E7-B6)/B6</f>
        <v>-0.683049416820135</v>
      </c>
      <c r="F6" s="17"/>
    </row>
    <row r="7" ht="20.05" customHeight="1">
      <c r="A7" s="29">
        <v>2017</v>
      </c>
      <c r="B7" s="14">
        <v>24750</v>
      </c>
      <c r="C7" s="15"/>
      <c r="D7" s="17">
        <f>B7/B6-1</f>
        <v>-0.050414364640884</v>
      </c>
      <c r="E7" s="13">
        <f>('Cashflow '!C8+'Cashflow '!D8-'Cashflow '!E8-B7)/B7</f>
        <v>-0.6077575757575761</v>
      </c>
      <c r="F7" s="17">
        <f>AVERAGE(E4:E7)</f>
        <v>-0.672763846170828</v>
      </c>
    </row>
    <row r="8" ht="20.05" customHeight="1">
      <c r="A8" s="28"/>
      <c r="B8" s="14">
        <v>26010</v>
      </c>
      <c r="C8" s="15"/>
      <c r="D8" s="17">
        <f>B8/B7-1</f>
        <v>0.0509090909090909</v>
      </c>
      <c r="E8" s="13">
        <f>('Cashflow '!C9+'Cashflow '!D9-'Cashflow '!E9-B8)/B8</f>
        <v>-0.737216455209535</v>
      </c>
      <c r="F8" s="17">
        <f>AVERAGE(E5:E8)</f>
        <v>-0.683835401833676</v>
      </c>
    </row>
    <row r="9" ht="20.05" customHeight="1">
      <c r="A9" s="28"/>
      <c r="B9" s="14">
        <v>27772</v>
      </c>
      <c r="C9" s="15"/>
      <c r="D9" s="17">
        <f>B9/B8-1</f>
        <v>0.0677431757016532</v>
      </c>
      <c r="E9" s="13">
        <f>('Cashflow '!C10+'Cashflow '!D10-'Cashflow '!E10-B9)/B9</f>
        <v>-0.623937779058044</v>
      </c>
      <c r="F9" s="17">
        <f>AVERAGE(E6:E9)</f>
        <v>-0.662990306711323</v>
      </c>
    </row>
    <row r="10" ht="20.05" customHeight="1">
      <c r="A10" s="28"/>
      <c r="B10" s="14">
        <v>32323</v>
      </c>
      <c r="C10" s="15"/>
      <c r="D10" s="17">
        <f>B10/B9-1</f>
        <v>0.163870084977675</v>
      </c>
      <c r="E10" s="13">
        <f>('Cashflow '!C11+'Cashflow '!D11-'Cashflow '!E11-B10)/B10</f>
        <v>-1.25944373975188</v>
      </c>
      <c r="F10" s="17">
        <f>AVERAGE(E7:E10)</f>
        <v>-0.807088887444259</v>
      </c>
    </row>
    <row r="11" ht="20.05" customHeight="1">
      <c r="A11" s="29">
        <v>2018</v>
      </c>
      <c r="B11" s="14">
        <v>31146</v>
      </c>
      <c r="C11" s="15"/>
      <c r="D11" s="17">
        <f>B11/B10-1</f>
        <v>-0.0364136992234632</v>
      </c>
      <c r="E11" s="13">
        <f>('Cashflow '!C12+'Cashflow '!D12-'Cashflow '!E12-B11)/B11</f>
        <v>-0.694599627560521</v>
      </c>
      <c r="F11" s="17">
        <f>AVERAGE(E8:E11)</f>
        <v>-0.828799400394995</v>
      </c>
    </row>
    <row r="12" ht="20.05" customHeight="1">
      <c r="A12" s="28"/>
      <c r="B12" s="14">
        <v>32657</v>
      </c>
      <c r="C12" s="15"/>
      <c r="D12" s="17">
        <f>B12/B11-1</f>
        <v>0.0485134527708213</v>
      </c>
      <c r="E12" s="13">
        <f>('Cashflow '!C13+'Cashflow '!D13-'Cashflow '!E13-B12)/B12</f>
        <v>-0.902869216400772</v>
      </c>
      <c r="F12" s="17">
        <f>AVERAGE(E9:E12)</f>
        <v>-0.870212590692804</v>
      </c>
    </row>
    <row r="13" ht="20.05" customHeight="1">
      <c r="A13" s="28"/>
      <c r="B13" s="14">
        <v>33740</v>
      </c>
      <c r="C13" s="15"/>
      <c r="D13" s="17">
        <f>B13/B12-1</f>
        <v>0.0331628747282359</v>
      </c>
      <c r="E13" s="13">
        <f>('Cashflow '!C14+'Cashflow '!D14-'Cashflow '!E14-B13)/B13</f>
        <v>-0.6006520450503851</v>
      </c>
      <c r="F13" s="17">
        <f>AVERAGE(E10:E13)</f>
        <v>-0.86439115719089</v>
      </c>
    </row>
    <row r="14" ht="20.05" customHeight="1">
      <c r="A14" s="28"/>
      <c r="B14" s="14">
        <v>39276</v>
      </c>
      <c r="C14" s="15"/>
      <c r="D14" s="17">
        <f>B14/B13-1</f>
        <v>0.164078245406046</v>
      </c>
      <c r="E14" s="13">
        <f>('Cashflow '!C15+'Cashflow '!D15-'Cashflow '!E15-B14)/B14</f>
        <v>-0.694546287809349</v>
      </c>
      <c r="F14" s="17">
        <f>AVERAGE(E11:E14)</f>
        <v>-0.723166794205257</v>
      </c>
    </row>
    <row r="15" ht="20.05" customHeight="1">
      <c r="A15" s="29">
        <v>2019</v>
      </c>
      <c r="B15" s="14">
        <v>36339</v>
      </c>
      <c r="C15" s="15"/>
      <c r="D15" s="17">
        <f>B15/B14-1</f>
        <v>-0.0747784906813321</v>
      </c>
      <c r="E15" s="13">
        <f>('Cashflow '!C16+'Cashflow '!D16-'Cashflow '!E16-B15)/B15</f>
        <v>-0.729932028949613</v>
      </c>
      <c r="F15" s="17">
        <f>AVERAGE(E12:E15)</f>
        <v>-0.73199989455253</v>
      </c>
    </row>
    <row r="16" ht="20.05" customHeight="1">
      <c r="A16" s="28"/>
      <c r="B16" s="14">
        <v>38944</v>
      </c>
      <c r="C16" s="15"/>
      <c r="D16" s="17">
        <f>B16/B15-1</f>
        <v>0.0716860673106029</v>
      </c>
      <c r="E16" s="13">
        <f>('Cashflow '!C17+'Cashflow '!D17-'Cashflow '!E17-B16)/B16</f>
        <v>-0.637915981922761</v>
      </c>
      <c r="F16" s="17">
        <f>AVERAGE(E13:E16)</f>
        <v>-0.665761585933027</v>
      </c>
    </row>
    <row r="17" ht="20.05" customHeight="1">
      <c r="A17" s="28"/>
      <c r="B17" s="14">
        <v>40499</v>
      </c>
      <c r="C17" s="15"/>
      <c r="D17" s="17">
        <f>B17/B16-1</f>
        <v>0.0399291290057518</v>
      </c>
      <c r="E17" s="13">
        <f>('Cashflow '!C18+'Cashflow '!D18-'Cashflow '!E18-B17)/B17</f>
        <v>-0.701325958665646</v>
      </c>
      <c r="F17" s="17">
        <f>AVERAGE(E14:E17)</f>
        <v>-0.690930064336842</v>
      </c>
    </row>
    <row r="18" ht="20.05" customHeight="1">
      <c r="A18" s="28"/>
      <c r="B18" s="14">
        <v>46075</v>
      </c>
      <c r="C18" s="15"/>
      <c r="D18" s="17">
        <f>B18/B17-1</f>
        <v>0.137682411911405</v>
      </c>
      <c r="E18" s="13">
        <f>('Cashflow '!C19+'Cashflow '!D19-'Cashflow '!E19-B18)/B18</f>
        <v>-0.633836136733587</v>
      </c>
      <c r="F18" s="17">
        <f>AVERAGE(E15:E18)</f>
        <v>-0.675752526567902</v>
      </c>
    </row>
    <row r="19" ht="20.05" customHeight="1">
      <c r="A19" s="29">
        <v>2020</v>
      </c>
      <c r="B19" s="14">
        <v>41159</v>
      </c>
      <c r="C19" s="15"/>
      <c r="D19" s="17">
        <f>B19/B18-1</f>
        <v>-0.106695604991861</v>
      </c>
      <c r="E19" s="13">
        <f>('Cashflow '!C20+'Cashflow '!D20-'Cashflow '!E20-B19)/B19</f>
        <v>-0.578050973055711</v>
      </c>
      <c r="F19" s="17">
        <f>AVERAGE(E16:E19)</f>
        <v>-0.6377822625944261</v>
      </c>
    </row>
    <row r="20" ht="20.05" customHeight="1">
      <c r="A20" s="28"/>
      <c r="B20" s="14">
        <v>38297</v>
      </c>
      <c r="C20" s="15"/>
      <c r="D20" s="17">
        <f>B20/B19-1</f>
        <v>-0.0695352170849632</v>
      </c>
      <c r="E20" s="13">
        <f>('Cashflow '!C21+'Cashflow '!D21-'Cashflow '!E21-B20)/B20</f>
        <v>-0.7561427788077399</v>
      </c>
      <c r="F20" s="17">
        <f>AVERAGE(E17:E20)</f>
        <v>-0.667338961815671</v>
      </c>
    </row>
    <row r="21" ht="20.05" customHeight="1">
      <c r="A21" s="28"/>
      <c r="B21" s="14">
        <v>46173</v>
      </c>
      <c r="C21" s="15"/>
      <c r="D21" s="17">
        <f>B21/B20-1</f>
        <v>0.20565579549312</v>
      </c>
      <c r="E21" s="13">
        <f>('Cashflow '!C22+'Cashflow '!D22-'Cashflow '!E22-B21)/B21</f>
        <v>-0.664500898793667</v>
      </c>
      <c r="F21" s="17">
        <f>AVERAGE(E18:E21)</f>
        <v>-0.6581326968476759</v>
      </c>
    </row>
    <row r="22" ht="20.05" customHeight="1">
      <c r="A22" s="28"/>
      <c r="B22" s="14">
        <v>56898</v>
      </c>
      <c r="C22" s="15">
        <v>49405.11</v>
      </c>
      <c r="D22" s="17">
        <f>B22/B21-1</f>
        <v>0.232278604379183</v>
      </c>
      <c r="E22" s="13">
        <f>('Cashflow '!C23+'Cashflow '!D23-'Cashflow '!E23-B22)/B22</f>
        <v>-0.6612710464339699</v>
      </c>
      <c r="F22" s="17">
        <f>AVERAGE(E19:E22)</f>
        <v>-0.664991424272772</v>
      </c>
    </row>
    <row r="23" ht="20.05" customHeight="1">
      <c r="A23" s="29">
        <v>2021</v>
      </c>
      <c r="B23" s="18">
        <v>55314</v>
      </c>
      <c r="C23" s="15">
        <v>52915.14</v>
      </c>
      <c r="D23" s="17">
        <f>B23/B22-1</f>
        <v>-0.0278392913634926</v>
      </c>
      <c r="E23" s="13">
        <f>('Cashflow '!C24+'Cashflow '!D24-'Cashflow '!E24-B23)/B23</f>
        <v>-0.606699931301298</v>
      </c>
      <c r="F23" s="17">
        <f>AVERAGE(E20:E23)</f>
        <v>-0.672153663834169</v>
      </c>
    </row>
    <row r="24" ht="20.05" customHeight="1">
      <c r="A24" s="28"/>
      <c r="B24" s="14">
        <v>61880</v>
      </c>
      <c r="C24" s="15">
        <v>58079.7</v>
      </c>
      <c r="D24" s="17">
        <f>B24/B23-1</f>
        <v>0.118704125537839</v>
      </c>
      <c r="E24" s="13">
        <f>('Cashflow '!C25+'Cashflow '!D25-'Cashflow '!E25-B24)/B24</f>
        <v>-0.618099547511312</v>
      </c>
      <c r="F24" s="17">
        <f>AVERAGE(E21:E24)</f>
        <v>-0.637642856010062</v>
      </c>
    </row>
    <row r="25" ht="20.05" customHeight="1">
      <c r="A25" s="28"/>
      <c r="B25" s="14">
        <v>65118</v>
      </c>
      <c r="C25" s="15">
        <v>63736.4</v>
      </c>
      <c r="D25" s="17">
        <f>B25/B24-1</f>
        <v>0.0523270846800259</v>
      </c>
      <c r="E25" s="13">
        <f>('Cashflow '!C26+'Cashflow '!D26-'Cashflow '!E26-B25)/B25</f>
        <v>-0.6939863017905959</v>
      </c>
      <c r="F25" s="17">
        <f>AVERAGE(E22:E25)</f>
        <v>-0.645014206759294</v>
      </c>
    </row>
    <row r="26" ht="20.05" customHeight="1">
      <c r="A26" s="28"/>
      <c r="B26" s="14"/>
      <c r="C26" s="15">
        <f>'Model'!C6</f>
        <v>74234.52</v>
      </c>
      <c r="D26" s="13"/>
      <c r="E26" s="13"/>
      <c r="F26" s="17">
        <f>'Model'!C7</f>
        <v>-0.6939863017905959</v>
      </c>
    </row>
    <row r="27" ht="20.05" customHeight="1">
      <c r="A27" s="29">
        <v>2022</v>
      </c>
      <c r="B27" s="14"/>
      <c r="C27" s="15">
        <f>'Model'!D6</f>
        <v>70522.793999999994</v>
      </c>
      <c r="D27" s="13"/>
      <c r="E27" s="21"/>
      <c r="F27" s="17"/>
    </row>
    <row r="28" ht="20.05" customHeight="1">
      <c r="A28" s="28"/>
      <c r="B28" s="14"/>
      <c r="C28" s="15">
        <f>'Model'!E6</f>
        <v>74048.933699999994</v>
      </c>
      <c r="D28" s="13"/>
      <c r="E28" s="13"/>
      <c r="F28" s="17"/>
    </row>
    <row r="29" ht="20.05" customHeight="1">
      <c r="A29" s="28"/>
      <c r="B29" s="14"/>
      <c r="C29" s="15">
        <f>'Model'!F6</f>
        <v>77010.891048</v>
      </c>
      <c r="D29" s="13"/>
      <c r="E29" s="13"/>
      <c r="F29" s="17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L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1406" style="30" customWidth="1"/>
    <col min="2" max="12" width="10.2578" style="30" customWidth="1"/>
    <col min="13" max="16384" width="16.3516" style="30" customWidth="1"/>
  </cols>
  <sheetData>
    <row r="1" ht="21.1" customHeight="1"/>
    <row r="2" ht="27.65" customHeight="1">
      <c r="B2" t="s" s="2">
        <v>43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44</v>
      </c>
      <c r="D3" t="s" s="4">
        <v>19</v>
      </c>
      <c r="E3" t="s" s="4">
        <v>45</v>
      </c>
      <c r="F3" t="s" s="4">
        <v>46</v>
      </c>
      <c r="G3" t="s" s="4">
        <v>8</v>
      </c>
      <c r="H3" t="s" s="4">
        <v>9</v>
      </c>
      <c r="I3" t="s" s="4">
        <v>10</v>
      </c>
      <c r="J3" t="s" s="4">
        <v>47</v>
      </c>
      <c r="K3" t="s" s="4">
        <v>3</v>
      </c>
      <c r="L3" t="s" s="4">
        <v>27</v>
      </c>
    </row>
    <row r="4" ht="20.25" customHeight="1">
      <c r="B4" s="24">
        <v>2016</v>
      </c>
      <c r="C4" s="31">
        <v>4207</v>
      </c>
      <c r="D4" s="32">
        <v>3623</v>
      </c>
      <c r="E4" s="32">
        <f>G4-D4-C4</f>
        <v>-172</v>
      </c>
      <c r="F4" s="32">
        <v>-2428</v>
      </c>
      <c r="G4" s="32">
        <v>7658</v>
      </c>
      <c r="H4" s="32">
        <v>-6245</v>
      </c>
      <c r="I4" s="32">
        <v>-2911</v>
      </c>
      <c r="J4" s="32">
        <f>G4+F4-E4</f>
        <v>5402</v>
      </c>
      <c r="K4" s="32"/>
      <c r="L4" s="32">
        <f>-I4</f>
        <v>2911</v>
      </c>
    </row>
    <row r="5" ht="20.05" customHeight="1">
      <c r="B5" s="28"/>
      <c r="C5" s="18">
        <v>4877</v>
      </c>
      <c r="D5" s="19">
        <v>2984</v>
      </c>
      <c r="E5" s="19">
        <f>G5-D5-C5</f>
        <v>1259</v>
      </c>
      <c r="F5" s="19">
        <v>-2123</v>
      </c>
      <c r="G5" s="19">
        <v>9120</v>
      </c>
      <c r="H5" s="19">
        <v>-7173</v>
      </c>
      <c r="I5" s="19">
        <v>-3440</v>
      </c>
      <c r="J5" s="19">
        <f>G5+F5-E5</f>
        <v>5738</v>
      </c>
      <c r="K5" s="19"/>
      <c r="L5" s="19">
        <f>-I5+L4</f>
        <v>6351</v>
      </c>
    </row>
    <row r="6" ht="20.05" customHeight="1">
      <c r="B6" s="28"/>
      <c r="C6" s="18">
        <v>5061</v>
      </c>
      <c r="D6" s="19">
        <v>3147</v>
      </c>
      <c r="E6" s="19">
        <f>G6-D6-C6</f>
        <v>1637</v>
      </c>
      <c r="F6" s="19">
        <v>-2554</v>
      </c>
      <c r="G6" s="19">
        <v>9845</v>
      </c>
      <c r="H6" s="19">
        <v>-13045</v>
      </c>
      <c r="I6" s="19">
        <v>-1089</v>
      </c>
      <c r="J6" s="19">
        <f>G6+F6-E6</f>
        <v>5654</v>
      </c>
      <c r="K6" s="19"/>
      <c r="L6" s="19">
        <f>-I6+L5</f>
        <v>7440</v>
      </c>
    </row>
    <row r="7" ht="20.05" customHeight="1">
      <c r="B7" s="28"/>
      <c r="C7" s="18">
        <v>5333</v>
      </c>
      <c r="D7" s="19">
        <v>3504</v>
      </c>
      <c r="E7" s="19">
        <f>G7-D7-C7</f>
        <v>576</v>
      </c>
      <c r="F7" s="19">
        <v>-3078</v>
      </c>
      <c r="G7" s="19">
        <v>9413</v>
      </c>
      <c r="H7" s="19">
        <v>-4702</v>
      </c>
      <c r="I7" s="19">
        <v>-892</v>
      </c>
      <c r="J7" s="19">
        <f>G7+F7-E7</f>
        <v>5759</v>
      </c>
      <c r="K7" s="19"/>
      <c r="L7" s="19">
        <f>-I7+L6</f>
        <v>8332</v>
      </c>
    </row>
    <row r="8" ht="20.05" customHeight="1">
      <c r="B8" s="29">
        <v>2017</v>
      </c>
      <c r="C8" s="18">
        <v>5426</v>
      </c>
      <c r="D8" s="19">
        <v>4202</v>
      </c>
      <c r="E8" s="19">
        <f>G8-D8-C8</f>
        <v>-80</v>
      </c>
      <c r="F8" s="19">
        <v>-2508</v>
      </c>
      <c r="G8" s="19">
        <v>9548</v>
      </c>
      <c r="H8" s="19">
        <v>-2851</v>
      </c>
      <c r="I8" s="19">
        <v>-1674</v>
      </c>
      <c r="J8" s="19">
        <f>G8+F8-E8</f>
        <v>7120</v>
      </c>
      <c r="K8" s="19">
        <f>AVERAGE(J5:J8)</f>
        <v>6067.75</v>
      </c>
      <c r="L8" s="19">
        <f>-I8+L7</f>
        <v>10006</v>
      </c>
    </row>
    <row r="9" ht="20.05" customHeight="1">
      <c r="B9" s="28"/>
      <c r="C9" s="18">
        <v>3524</v>
      </c>
      <c r="D9" s="19">
        <v>3595</v>
      </c>
      <c r="E9" s="19">
        <f>G9-D9-C9</f>
        <v>284</v>
      </c>
      <c r="F9" s="19">
        <v>-2831</v>
      </c>
      <c r="G9" s="19">
        <v>7403</v>
      </c>
      <c r="H9" s="19">
        <v>-7172</v>
      </c>
      <c r="I9" s="19">
        <v>-2740</v>
      </c>
      <c r="J9" s="19">
        <f>G9+F9-E9</f>
        <v>4288</v>
      </c>
      <c r="K9" s="19">
        <f>AVERAGE(J6:J9)</f>
        <v>5705.25</v>
      </c>
      <c r="L9" s="19">
        <f>-I9+L8</f>
        <v>12746</v>
      </c>
    </row>
    <row r="10" ht="20.05" customHeight="1">
      <c r="B10" s="28"/>
      <c r="C10" s="18">
        <v>6732</v>
      </c>
      <c r="D10" s="19">
        <v>3426</v>
      </c>
      <c r="E10" s="19">
        <f>G10-D10-C10</f>
        <v>-286</v>
      </c>
      <c r="F10" s="19">
        <v>-3538</v>
      </c>
      <c r="G10" s="19">
        <v>9872</v>
      </c>
      <c r="H10" s="19">
        <v>-14404</v>
      </c>
      <c r="I10" s="19">
        <v>-706</v>
      </c>
      <c r="J10" s="19">
        <f>G10+F10-E10</f>
        <v>6620</v>
      </c>
      <c r="K10" s="19">
        <f>AVERAGE(J7:J10)</f>
        <v>5946.75</v>
      </c>
      <c r="L10" s="19">
        <f>-I10+L9</f>
        <v>13452</v>
      </c>
    </row>
    <row r="11" ht="20.05" customHeight="1">
      <c r="B11" s="28"/>
      <c r="C11" s="18">
        <v>-3020</v>
      </c>
      <c r="D11" s="19">
        <v>3961</v>
      </c>
      <c r="E11" s="19">
        <f>G11-D11-C11</f>
        <v>9327</v>
      </c>
      <c r="F11" s="19">
        <v>-4307</v>
      </c>
      <c r="G11" s="19">
        <v>10268</v>
      </c>
      <c r="H11" s="19">
        <v>-6974</v>
      </c>
      <c r="I11" s="19">
        <v>-3178</v>
      </c>
      <c r="J11" s="19">
        <f>G11+F11-E11</f>
        <v>-3366</v>
      </c>
      <c r="K11" s="19">
        <f>AVERAGE(J8:J11)</f>
        <v>3665.5</v>
      </c>
      <c r="L11" s="19">
        <f>-I11+L10</f>
        <v>16630</v>
      </c>
    </row>
    <row r="12" ht="20.05" customHeight="1">
      <c r="B12" s="29">
        <v>2018</v>
      </c>
      <c r="C12" s="18">
        <v>9401</v>
      </c>
      <c r="D12" s="19">
        <v>1176</v>
      </c>
      <c r="E12" s="19">
        <f>G12-D12-C12</f>
        <v>1065</v>
      </c>
      <c r="F12" s="19">
        <v>-7299</v>
      </c>
      <c r="G12" s="19">
        <v>11642</v>
      </c>
      <c r="H12" s="19">
        <v>-7846</v>
      </c>
      <c r="I12" s="19">
        <v>-2018</v>
      </c>
      <c r="J12" s="19">
        <f>G12+F12-E12</f>
        <v>3278</v>
      </c>
      <c r="K12" s="19">
        <f>AVERAGE(J9:J12)</f>
        <v>2705</v>
      </c>
      <c r="L12" s="19">
        <f>-I12+L11</f>
        <v>18648</v>
      </c>
    </row>
    <row r="13" ht="20.05" customHeight="1">
      <c r="B13" s="28"/>
      <c r="C13" s="18">
        <v>3195</v>
      </c>
      <c r="D13" s="19">
        <v>3457</v>
      </c>
      <c r="E13" s="19">
        <f>G13-D13-C13</f>
        <v>3480</v>
      </c>
      <c r="F13" s="19">
        <v>-5477</v>
      </c>
      <c r="G13" s="19">
        <v>10132</v>
      </c>
      <c r="H13" s="19">
        <v>-3374</v>
      </c>
      <c r="I13" s="19">
        <v>-4937</v>
      </c>
      <c r="J13" s="19">
        <f>G13+F13-E13</f>
        <v>1175</v>
      </c>
      <c r="K13" s="19">
        <f>AVERAGE(J10:J13)</f>
        <v>1926.75</v>
      </c>
      <c r="L13" s="19">
        <f>-I13+L12</f>
        <v>23585</v>
      </c>
    </row>
    <row r="14" ht="20.05" customHeight="1">
      <c r="B14" s="28"/>
      <c r="C14" s="18">
        <v>9192</v>
      </c>
      <c r="D14" s="19">
        <v>4150</v>
      </c>
      <c r="E14" s="19">
        <f>G14-D14-C14</f>
        <v>-132</v>
      </c>
      <c r="F14" s="19">
        <v>-5282</v>
      </c>
      <c r="G14" s="19">
        <v>13210</v>
      </c>
      <c r="H14" s="19">
        <v>-10408</v>
      </c>
      <c r="I14" s="19">
        <v>-3478</v>
      </c>
      <c r="J14" s="19">
        <f>G14+F14-E14</f>
        <v>8060</v>
      </c>
      <c r="K14" s="19">
        <f>AVERAGE(J11:J14)</f>
        <v>2286.75</v>
      </c>
      <c r="L14" s="19">
        <f>-I14+L13</f>
        <v>27063</v>
      </c>
    </row>
    <row r="15" ht="20.05" customHeight="1">
      <c r="B15" s="28"/>
      <c r="C15" s="18">
        <v>8948</v>
      </c>
      <c r="D15" s="19">
        <v>3544</v>
      </c>
      <c r="E15" s="19">
        <f>G15-D15-C15</f>
        <v>495</v>
      </c>
      <c r="F15" s="19">
        <v>-7081</v>
      </c>
      <c r="G15" s="19">
        <v>12987</v>
      </c>
      <c r="H15" s="19">
        <v>-6876</v>
      </c>
      <c r="I15" s="19">
        <v>-2746</v>
      </c>
      <c r="J15" s="19">
        <f>G15+F15-E15</f>
        <v>5411</v>
      </c>
      <c r="K15" s="19">
        <f>AVERAGE(J12:J15)</f>
        <v>4481</v>
      </c>
      <c r="L15" s="19">
        <f>-I15+L14</f>
        <v>29809</v>
      </c>
    </row>
    <row r="16" ht="20.05" customHeight="1">
      <c r="B16" s="29">
        <v>2019</v>
      </c>
      <c r="C16" s="18">
        <v>6657</v>
      </c>
      <c r="D16" s="19">
        <v>4250</v>
      </c>
      <c r="E16" s="19">
        <f>G16-D16-C16</f>
        <v>1093</v>
      </c>
      <c r="F16" s="19">
        <v>-4638</v>
      </c>
      <c r="G16" s="19">
        <v>12000</v>
      </c>
      <c r="H16" s="19">
        <v>-5388</v>
      </c>
      <c r="I16" s="19">
        <v>-4183</v>
      </c>
      <c r="J16" s="19">
        <f>G16+F16-E16</f>
        <v>6269</v>
      </c>
      <c r="K16" s="19">
        <f>AVERAGE(J13:J16)</f>
        <v>5228.75</v>
      </c>
      <c r="L16" s="19">
        <f>-I16+L15</f>
        <v>33992</v>
      </c>
    </row>
    <row r="17" ht="20.05" customHeight="1">
      <c r="B17" s="28"/>
      <c r="C17" s="18">
        <v>9947</v>
      </c>
      <c r="D17" s="19">
        <v>3417</v>
      </c>
      <c r="E17" s="19">
        <f>G17-D17-C17</f>
        <v>-737</v>
      </c>
      <c r="F17" s="19">
        <v>-6126</v>
      </c>
      <c r="G17" s="19">
        <v>12627</v>
      </c>
      <c r="H17" s="19">
        <v>-10455</v>
      </c>
      <c r="I17" s="19">
        <v>-4746</v>
      </c>
      <c r="J17" s="19">
        <f>G17+F17-E17</f>
        <v>7238</v>
      </c>
      <c r="K17" s="19">
        <f>AVERAGE(J14:J17)</f>
        <v>6744.5</v>
      </c>
      <c r="L17" s="19">
        <f>-I17+L16</f>
        <v>38738</v>
      </c>
    </row>
    <row r="18" ht="20.05" customHeight="1">
      <c r="B18" s="28"/>
      <c r="C18" s="18">
        <v>7068</v>
      </c>
      <c r="D18" s="19">
        <v>6713</v>
      </c>
      <c r="E18" s="19">
        <f>G18-D18-C18</f>
        <v>1685</v>
      </c>
      <c r="F18" s="19">
        <v>-6732</v>
      </c>
      <c r="G18" s="19">
        <v>15466</v>
      </c>
      <c r="H18" s="19">
        <v>-8945</v>
      </c>
      <c r="I18" s="19">
        <v>-6954</v>
      </c>
      <c r="J18" s="19">
        <f>G18+F18-E18</f>
        <v>7049</v>
      </c>
      <c r="K18" s="19">
        <f>AVERAGE(J15:J18)</f>
        <v>6491.75</v>
      </c>
      <c r="L18" s="19">
        <f>-I18+L17</f>
        <v>45692</v>
      </c>
    </row>
    <row r="19" ht="20.05" customHeight="1">
      <c r="B19" s="28"/>
      <c r="C19" s="18">
        <v>10671</v>
      </c>
      <c r="D19" s="19">
        <v>4978</v>
      </c>
      <c r="E19" s="19">
        <f>G19-D19-C19</f>
        <v>-1222</v>
      </c>
      <c r="F19" s="19">
        <v>-6052</v>
      </c>
      <c r="G19" s="19">
        <v>14427</v>
      </c>
      <c r="H19" s="19">
        <v>-4703</v>
      </c>
      <c r="I19" s="19">
        <v>-7326</v>
      </c>
      <c r="J19" s="19">
        <f>G19+F19-E19</f>
        <v>9597</v>
      </c>
      <c r="K19" s="19">
        <f>AVERAGE(J16:J19)</f>
        <v>7538.25</v>
      </c>
      <c r="L19" s="19">
        <f>-I19+L18</f>
        <v>53018</v>
      </c>
    </row>
    <row r="20" ht="20.05" customHeight="1">
      <c r="B20" s="29">
        <v>2020</v>
      </c>
      <c r="C20" s="18">
        <v>6836</v>
      </c>
      <c r="D20" s="19">
        <v>7573</v>
      </c>
      <c r="E20" s="19">
        <f>G20-D20-C20</f>
        <v>-2958</v>
      </c>
      <c r="F20" s="19">
        <v>-6005</v>
      </c>
      <c r="G20" s="19">
        <v>11451</v>
      </c>
      <c r="H20" s="19">
        <v>-1847</v>
      </c>
      <c r="I20" s="19">
        <v>-8186</v>
      </c>
      <c r="J20" s="19">
        <f>G20+F20-E20</f>
        <v>8404</v>
      </c>
      <c r="K20" s="19">
        <f>AVERAGE(J17:J20)</f>
        <v>8072</v>
      </c>
      <c r="L20" s="19">
        <f>-I20+L19</f>
        <v>61204</v>
      </c>
    </row>
    <row r="21" ht="20.05" customHeight="1">
      <c r="B21" s="28"/>
      <c r="C21" s="18">
        <v>6959</v>
      </c>
      <c r="D21" s="19">
        <v>4707</v>
      </c>
      <c r="E21" s="19">
        <f>G21-D21-C21</f>
        <v>2327</v>
      </c>
      <c r="F21" s="19">
        <v>-5391</v>
      </c>
      <c r="G21" s="19">
        <v>13993</v>
      </c>
      <c r="H21" s="19">
        <v>-8448</v>
      </c>
      <c r="I21" s="19">
        <v>-7498</v>
      </c>
      <c r="J21" s="19">
        <f>G21+F21-E21</f>
        <v>6275</v>
      </c>
      <c r="K21" s="19">
        <f>AVERAGE(J18:J21)</f>
        <v>7831.25</v>
      </c>
      <c r="L21" s="19">
        <f>-I21+L20</f>
        <v>68702</v>
      </c>
    </row>
    <row r="22" ht="20.05" customHeight="1">
      <c r="B22" s="28"/>
      <c r="C22" s="18">
        <v>11247</v>
      </c>
      <c r="D22" s="19">
        <v>5000</v>
      </c>
      <c r="E22" s="19">
        <f>G22-D22-C22</f>
        <v>756</v>
      </c>
      <c r="F22" s="19">
        <v>-5406</v>
      </c>
      <c r="G22" s="19">
        <v>17003</v>
      </c>
      <c r="H22" s="19">
        <v>-15197</v>
      </c>
      <c r="I22" s="19">
        <v>546</v>
      </c>
      <c r="J22" s="19">
        <f>G22+F22-E22</f>
        <v>10841</v>
      </c>
      <c r="K22" s="19">
        <f>AVERAGE(J19:J22)</f>
        <v>8779.25</v>
      </c>
      <c r="L22" s="19">
        <f>-I22+L21</f>
        <v>68156</v>
      </c>
    </row>
    <row r="23" ht="20.05" customHeight="1">
      <c r="B23" s="28"/>
      <c r="C23" s="18">
        <v>15227</v>
      </c>
      <c r="D23" s="19">
        <f>3539+186+3223+1670-3262+392</f>
        <v>5748</v>
      </c>
      <c r="E23" s="19">
        <f>G23-D23-C23</f>
        <v>1702</v>
      </c>
      <c r="F23" s="19">
        <v>-5479</v>
      </c>
      <c r="G23" s="19">
        <v>22677</v>
      </c>
      <c r="H23" s="19">
        <v>-7281</v>
      </c>
      <c r="I23" s="19">
        <v>-9270</v>
      </c>
      <c r="J23" s="19">
        <f>G23+F23-E23</f>
        <v>15496</v>
      </c>
      <c r="K23" s="19">
        <f>AVERAGE(J20:J23)</f>
        <v>10254</v>
      </c>
      <c r="L23" s="19">
        <f>-I23+L22</f>
        <v>77426</v>
      </c>
    </row>
    <row r="24" ht="20.05" customHeight="1">
      <c r="B24" s="29">
        <v>2021</v>
      </c>
      <c r="C24" s="18">
        <v>17930</v>
      </c>
      <c r="D24" s="19">
        <f>2525+228+3745+1100-4751-255</f>
        <v>2592</v>
      </c>
      <c r="E24" s="19">
        <f>G24-D24-C24</f>
        <v>-1233</v>
      </c>
      <c r="F24" s="19">
        <v>-5942</v>
      </c>
      <c r="G24" s="19">
        <v>19289</v>
      </c>
      <c r="H24" s="19">
        <v>-5383</v>
      </c>
      <c r="I24" s="19">
        <v>-13606</v>
      </c>
      <c r="J24" s="19">
        <f>G24+F24-E24</f>
        <v>14580</v>
      </c>
      <c r="K24" s="19">
        <f>AVERAGE(J21:J24)</f>
        <v>11798</v>
      </c>
      <c r="L24" s="19">
        <f>-I24+L23</f>
        <v>91032</v>
      </c>
    </row>
    <row r="25" ht="20.05" customHeight="1">
      <c r="B25" s="28"/>
      <c r="C25" s="18">
        <v>18525</v>
      </c>
      <c r="D25" s="19">
        <v>4236</v>
      </c>
      <c r="E25" s="19">
        <f>G25-D25-C25</f>
        <v>-871</v>
      </c>
      <c r="F25" s="19">
        <v>-5496</v>
      </c>
      <c r="G25" s="19">
        <v>21890</v>
      </c>
      <c r="H25" s="19">
        <v>-9074</v>
      </c>
      <c r="I25" s="19">
        <v>-15991</v>
      </c>
      <c r="J25" s="19">
        <f>G25+F25-E25</f>
        <v>17265</v>
      </c>
      <c r="K25" s="19">
        <f>AVERAGE(J22:J25)</f>
        <v>14545.5</v>
      </c>
      <c r="L25" s="19">
        <f>-I25+L24</f>
        <v>107023</v>
      </c>
    </row>
    <row r="26" ht="20.05" customHeight="1">
      <c r="B26" s="28"/>
      <c r="C26" s="18">
        <v>18936</v>
      </c>
      <c r="D26" s="19">
        <v>3797</v>
      </c>
      <c r="E26" s="19">
        <f>G26-D26-C26</f>
        <v>2806</v>
      </c>
      <c r="F26" s="19">
        <v>-6819</v>
      </c>
      <c r="G26" s="19">
        <v>25539</v>
      </c>
      <c r="H26" s="19">
        <v>-10050</v>
      </c>
      <c r="I26" s="19">
        <v>-15254</v>
      </c>
      <c r="J26" s="19">
        <f>G26+F26-E26</f>
        <v>15914</v>
      </c>
      <c r="K26" s="19">
        <f>AVERAGE(J23:J26)</f>
        <v>15813.75</v>
      </c>
      <c r="L26" s="19">
        <f>-I26+L25</f>
        <v>122277</v>
      </c>
    </row>
    <row r="27" ht="20.05" customHeight="1">
      <c r="B27" s="28"/>
      <c r="C27" s="18"/>
      <c r="D27" s="19"/>
      <c r="E27" s="19"/>
      <c r="F27" s="19"/>
      <c r="G27" s="19"/>
      <c r="H27" s="19"/>
      <c r="I27" s="19"/>
      <c r="J27" s="19"/>
      <c r="K27" s="19">
        <f>SUM('Model'!F9:F10)</f>
        <v>16747.387572</v>
      </c>
      <c r="L27" s="19">
        <f>'Model'!F32</f>
        <v>179020.483586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7188" style="33" customWidth="1"/>
    <col min="2" max="11" width="9.85156" style="33" customWidth="1"/>
    <col min="12" max="16384" width="16.3516" style="33" customWidth="1"/>
  </cols>
  <sheetData>
    <row r="1" ht="12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48</v>
      </c>
      <c r="D3" t="s" s="4">
        <v>49</v>
      </c>
      <c r="E3" t="s" s="4">
        <v>50</v>
      </c>
      <c r="F3" t="s" s="4">
        <v>22</v>
      </c>
      <c r="G3" t="s" s="4">
        <v>11</v>
      </c>
      <c r="H3" t="s" s="4">
        <v>12</v>
      </c>
      <c r="I3" t="s" s="4">
        <v>51</v>
      </c>
      <c r="J3" t="s" s="4">
        <v>52</v>
      </c>
      <c r="K3" t="s" s="4">
        <v>32</v>
      </c>
    </row>
    <row r="4" ht="20.25" customHeight="1">
      <c r="B4" s="24">
        <v>2016</v>
      </c>
      <c r="C4" s="31">
        <v>15111</v>
      </c>
      <c r="D4" s="32">
        <v>149747</v>
      </c>
      <c r="E4" s="32">
        <f>D4-C4</f>
        <v>134636</v>
      </c>
      <c r="F4" s="32">
        <f>'Cashflow '!D4</f>
        <v>3623</v>
      </c>
      <c r="G4" s="32">
        <v>26178</v>
      </c>
      <c r="H4" s="32">
        <v>123569</v>
      </c>
      <c r="I4" s="32">
        <f>G4+H4-C4-E4</f>
        <v>0</v>
      </c>
      <c r="J4" s="32">
        <f>C4-G4</f>
        <v>-11067</v>
      </c>
      <c r="K4" s="32"/>
    </row>
    <row r="5" ht="20.05" customHeight="1">
      <c r="B5" s="28"/>
      <c r="C5" s="18">
        <v>13627</v>
      </c>
      <c r="D5" s="19">
        <v>154292</v>
      </c>
      <c r="E5" s="19">
        <f>D5-C5</f>
        <v>140665</v>
      </c>
      <c r="F5" s="19">
        <f>F4+'Cashflow '!D5</f>
        <v>6607</v>
      </c>
      <c r="G5" s="19">
        <v>26413</v>
      </c>
      <c r="H5" s="19">
        <v>127879</v>
      </c>
      <c r="I5" s="19">
        <f>G5+H5-C5-E5</f>
        <v>0</v>
      </c>
      <c r="J5" s="19">
        <f>C5-G5</f>
        <v>-12786</v>
      </c>
      <c r="K5" s="19"/>
    </row>
    <row r="6" ht="20.05" customHeight="1">
      <c r="B6" s="28"/>
      <c r="C6" s="18">
        <v>9406</v>
      </c>
      <c r="D6" s="19">
        <v>159948</v>
      </c>
      <c r="E6" s="19">
        <f>D6-C6</f>
        <v>150542</v>
      </c>
      <c r="F6" s="19">
        <f>F5+'Cashflow '!D6</f>
        <v>9754</v>
      </c>
      <c r="G6" s="19">
        <v>25845</v>
      </c>
      <c r="H6" s="19">
        <v>134103</v>
      </c>
      <c r="I6" s="19">
        <f>G6+H6-C6-E6</f>
        <v>0</v>
      </c>
      <c r="J6" s="19">
        <f>C6-G6</f>
        <v>-16439</v>
      </c>
      <c r="K6" s="19"/>
    </row>
    <row r="7" ht="20.05" customHeight="1">
      <c r="B7" s="28"/>
      <c r="C7" s="18">
        <v>12918</v>
      </c>
      <c r="D7" s="19">
        <v>167497</v>
      </c>
      <c r="E7" s="19">
        <f>D7-C7</f>
        <v>154579</v>
      </c>
      <c r="F7" s="19">
        <f>F6+'Cashflow '!D7</f>
        <v>13258</v>
      </c>
      <c r="G7" s="19">
        <v>28461</v>
      </c>
      <c r="H7" s="19">
        <v>139036</v>
      </c>
      <c r="I7" s="19">
        <f>G7+H7-C7-E7</f>
        <v>0</v>
      </c>
      <c r="J7" s="19">
        <f>C7-G7</f>
        <v>-15543</v>
      </c>
      <c r="K7" s="19"/>
    </row>
    <row r="8" ht="20.05" customHeight="1">
      <c r="B8" s="29">
        <v>2017</v>
      </c>
      <c r="C8" s="18">
        <v>18132</v>
      </c>
      <c r="D8" s="19">
        <v>172756</v>
      </c>
      <c r="E8" s="19">
        <f>D8-C8</f>
        <v>154624</v>
      </c>
      <c r="F8" s="19">
        <f>F7+'Cashflow '!D8</f>
        <v>17460</v>
      </c>
      <c r="G8" s="19">
        <v>27807</v>
      </c>
      <c r="H8" s="19">
        <v>144949</v>
      </c>
      <c r="I8" s="19">
        <f>G8+H8-C8-E8</f>
        <v>0</v>
      </c>
      <c r="J8" s="19">
        <f>C8-G8</f>
        <v>-9675</v>
      </c>
      <c r="K8" s="19"/>
    </row>
    <row r="9" ht="20.05" customHeight="1">
      <c r="B9" s="28"/>
      <c r="C9" s="18">
        <v>15711</v>
      </c>
      <c r="D9" s="19">
        <v>178621</v>
      </c>
      <c r="E9" s="19">
        <f>D9-C9</f>
        <v>162910</v>
      </c>
      <c r="F9" s="19">
        <f>F8+'Cashflow '!D9</f>
        <v>21055</v>
      </c>
      <c r="G9" s="19">
        <v>30335</v>
      </c>
      <c r="H9" s="19">
        <v>148286</v>
      </c>
      <c r="I9" s="19">
        <f>G9+H9-C9-E9</f>
        <v>0</v>
      </c>
      <c r="J9" s="19">
        <f>C9-G9</f>
        <v>-14624</v>
      </c>
      <c r="K9" s="19"/>
    </row>
    <row r="10" ht="20.05" customHeight="1">
      <c r="B10" s="28"/>
      <c r="C10" s="18">
        <v>10581</v>
      </c>
      <c r="D10" s="19">
        <v>189536</v>
      </c>
      <c r="E10" s="19">
        <f>D10-C10</f>
        <v>178955</v>
      </c>
      <c r="F10" s="19">
        <f>F9+'Cashflow '!D10</f>
        <v>24481</v>
      </c>
      <c r="G10" s="19">
        <v>32436</v>
      </c>
      <c r="H10" s="19">
        <v>157100</v>
      </c>
      <c r="I10" s="19">
        <f>G10+H10-C10-E10</f>
        <v>0</v>
      </c>
      <c r="J10" s="19">
        <f>C10-G10</f>
        <v>-21855</v>
      </c>
      <c r="K10" s="19"/>
    </row>
    <row r="11" ht="20.05" customHeight="1">
      <c r="B11" s="28"/>
      <c r="C11" s="18">
        <v>10715</v>
      </c>
      <c r="D11" s="19">
        <v>197295</v>
      </c>
      <c r="E11" s="19">
        <f>D11-C11</f>
        <v>186580</v>
      </c>
      <c r="F11" s="19">
        <f>F10+'Cashflow '!D11</f>
        <v>28442</v>
      </c>
      <c r="G11" s="19">
        <v>44793</v>
      </c>
      <c r="H11" s="19">
        <v>152502</v>
      </c>
      <c r="I11" s="19">
        <f>G11+H11-C11-E11</f>
        <v>0</v>
      </c>
      <c r="J11" s="19">
        <f>C11-G11</f>
        <v>-34078</v>
      </c>
      <c r="K11" s="19"/>
    </row>
    <row r="12" ht="20.05" customHeight="1">
      <c r="B12" s="29">
        <v>2018</v>
      </c>
      <c r="C12" s="18">
        <v>12658</v>
      </c>
      <c r="D12" s="19">
        <v>206935</v>
      </c>
      <c r="E12" s="19">
        <f>D12-C12</f>
        <v>194277</v>
      </c>
      <c r="F12" s="19">
        <f>F11+'Cashflow '!D12</f>
        <v>29618</v>
      </c>
      <c r="G12" s="19">
        <v>46110</v>
      </c>
      <c r="H12" s="19">
        <v>160825</v>
      </c>
      <c r="I12" s="19">
        <f>G12+H12-C12-E12</f>
        <v>0</v>
      </c>
      <c r="J12" s="19">
        <f>C12-G12</f>
        <v>-33452</v>
      </c>
      <c r="K12" s="19"/>
    </row>
    <row r="13" ht="20.05" customHeight="1">
      <c r="B13" s="28"/>
      <c r="C13" s="18">
        <v>14148</v>
      </c>
      <c r="D13" s="19">
        <v>211610</v>
      </c>
      <c r="E13" s="19">
        <f>D13-C13</f>
        <v>197462</v>
      </c>
      <c r="F13" s="19">
        <f>F12+'Cashflow '!D13</f>
        <v>33075</v>
      </c>
      <c r="G13" s="19">
        <v>49610</v>
      </c>
      <c r="H13" s="19">
        <v>162000</v>
      </c>
      <c r="I13" s="19">
        <f>G13+H13-C13-E13</f>
        <v>0</v>
      </c>
      <c r="J13" s="19">
        <f>C13-G13</f>
        <v>-35462</v>
      </c>
      <c r="K13" s="19"/>
    </row>
    <row r="14" ht="20.05" customHeight="1">
      <c r="B14" s="28"/>
      <c r="C14" s="18">
        <v>13443</v>
      </c>
      <c r="D14" s="19">
        <v>221538</v>
      </c>
      <c r="E14" s="19">
        <f>D14-C14</f>
        <v>208095</v>
      </c>
      <c r="F14" s="19">
        <f>F13+'Cashflow '!D14</f>
        <v>37225</v>
      </c>
      <c r="G14" s="19">
        <v>51698</v>
      </c>
      <c r="H14" s="19">
        <v>169840</v>
      </c>
      <c r="I14" s="19">
        <f>G14+H14-C14-E14</f>
        <v>0</v>
      </c>
      <c r="J14" s="19">
        <f>C14-G14</f>
        <v>-38255</v>
      </c>
      <c r="K14" s="19"/>
    </row>
    <row r="15" ht="20.05" customHeight="1">
      <c r="B15" s="28"/>
      <c r="C15" s="18">
        <v>16701</v>
      </c>
      <c r="D15" s="19">
        <v>232792</v>
      </c>
      <c r="E15" s="19">
        <f>D15-C15</f>
        <v>216091</v>
      </c>
      <c r="F15" s="19">
        <f>F14+'Cashflow '!D15</f>
        <v>40769</v>
      </c>
      <c r="G15" s="19">
        <v>55164</v>
      </c>
      <c r="H15" s="19">
        <v>177628</v>
      </c>
      <c r="I15" s="19">
        <f>G15+H15-C15-E15</f>
        <v>0</v>
      </c>
      <c r="J15" s="19">
        <f>C15-G15</f>
        <v>-38463</v>
      </c>
      <c r="K15" s="19"/>
    </row>
    <row r="16" ht="20.05" customHeight="1">
      <c r="B16" s="29">
        <v>2019</v>
      </c>
      <c r="C16" s="18">
        <v>19148</v>
      </c>
      <c r="D16" s="19">
        <v>245349</v>
      </c>
      <c r="E16" s="19">
        <f>D16-C16</f>
        <v>226201</v>
      </c>
      <c r="F16" s="19">
        <f>F15+'Cashflow '!D16</f>
        <v>45019</v>
      </c>
      <c r="G16" s="19">
        <v>61877</v>
      </c>
      <c r="H16" s="19">
        <v>183472</v>
      </c>
      <c r="I16" s="19">
        <f>G16+H16-C16-E16</f>
        <v>0</v>
      </c>
      <c r="J16" s="19">
        <f>C16-G16</f>
        <v>-42729</v>
      </c>
      <c r="K16" s="19"/>
    </row>
    <row r="17" ht="20.05" customHeight="1">
      <c r="B17" s="28"/>
      <c r="C17" s="18">
        <v>16587</v>
      </c>
      <c r="D17" s="19">
        <v>257101</v>
      </c>
      <c r="E17" s="19">
        <f>D17-C17</f>
        <v>240514</v>
      </c>
      <c r="F17" s="19">
        <f>F16+'Cashflow '!D17</f>
        <v>48436</v>
      </c>
      <c r="G17" s="19">
        <v>64909</v>
      </c>
      <c r="H17" s="19">
        <v>192192</v>
      </c>
      <c r="I17" s="19">
        <f>G17+H17-C17-E17</f>
        <v>0</v>
      </c>
      <c r="J17" s="19">
        <f>C17-G17</f>
        <v>-48322</v>
      </c>
      <c r="K17" s="19"/>
    </row>
    <row r="18" ht="20.05" customHeight="1">
      <c r="B18" s="28"/>
      <c r="C18" s="18">
        <v>16032</v>
      </c>
      <c r="D18" s="19">
        <v>263044</v>
      </c>
      <c r="E18" s="19">
        <f>D18-C18</f>
        <v>247012</v>
      </c>
      <c r="F18" s="19">
        <f>F17+'Cashflow '!D18</f>
        <v>55149</v>
      </c>
      <c r="G18" s="19">
        <v>68075</v>
      </c>
      <c r="H18" s="19">
        <v>194969</v>
      </c>
      <c r="I18" s="19">
        <f>G18+H18-C18-E18</f>
        <v>0</v>
      </c>
      <c r="J18" s="19">
        <f>C18-G18</f>
        <v>-52043</v>
      </c>
      <c r="K18" s="19"/>
    </row>
    <row r="19" ht="20.05" customHeight="1">
      <c r="B19" s="28"/>
      <c r="C19" s="18">
        <v>18498</v>
      </c>
      <c r="D19" s="19">
        <v>275909</v>
      </c>
      <c r="E19" s="19">
        <f>D19-C19</f>
        <v>257411</v>
      </c>
      <c r="F19" s="19">
        <f>F18+'Cashflow '!D19</f>
        <v>60127</v>
      </c>
      <c r="G19" s="19">
        <v>74467</v>
      </c>
      <c r="H19" s="19">
        <v>201442</v>
      </c>
      <c r="I19" s="19">
        <f>G19+H19-C19-E19</f>
        <v>0</v>
      </c>
      <c r="J19" s="19">
        <f>C19-G19</f>
        <v>-55969</v>
      </c>
      <c r="K19" s="19"/>
    </row>
    <row r="20" ht="20.05" customHeight="1">
      <c r="B20" s="29">
        <v>2020</v>
      </c>
      <c r="C20" s="18">
        <v>19644</v>
      </c>
      <c r="D20" s="19">
        <v>273403</v>
      </c>
      <c r="E20" s="19">
        <f>D20-C20</f>
        <v>253759</v>
      </c>
      <c r="F20" s="19">
        <f>F19+'Cashflow '!D20</f>
        <v>67700</v>
      </c>
      <c r="G20" s="19">
        <v>69744</v>
      </c>
      <c r="H20" s="19">
        <v>203659</v>
      </c>
      <c r="I20" s="19">
        <f>G20+H20-C20-E20</f>
        <v>0</v>
      </c>
      <c r="J20" s="19">
        <f>C20-G20</f>
        <v>-50100</v>
      </c>
      <c r="K20" s="19"/>
    </row>
    <row r="21" ht="20.05" customHeight="1">
      <c r="B21" s="28"/>
      <c r="C21" s="18">
        <v>17742</v>
      </c>
      <c r="D21" s="19">
        <v>278492</v>
      </c>
      <c r="E21" s="19">
        <f>D21-C21</f>
        <v>260750</v>
      </c>
      <c r="F21" s="19">
        <f>F20+'Cashflow '!D21</f>
        <v>72407</v>
      </c>
      <c r="G21" s="19">
        <v>71170</v>
      </c>
      <c r="H21" s="19">
        <v>207322</v>
      </c>
      <c r="I21" s="19">
        <f>G21+H21-C21-E21</f>
        <v>0</v>
      </c>
      <c r="J21" s="19">
        <f>C21-G21</f>
        <v>-53428</v>
      </c>
      <c r="K21" s="19"/>
    </row>
    <row r="22" ht="20.05" customHeight="1">
      <c r="B22" s="28"/>
      <c r="C22" s="18">
        <v>20129</v>
      </c>
      <c r="D22" s="19">
        <v>299243</v>
      </c>
      <c r="E22" s="19">
        <f>D22-C22</f>
        <v>279114</v>
      </c>
      <c r="F22" s="19">
        <f>F21+'Cashflow '!D22</f>
        <v>77407</v>
      </c>
      <c r="G22" s="19">
        <v>86323</v>
      </c>
      <c r="H22" s="19">
        <v>212920</v>
      </c>
      <c r="I22" s="19">
        <f>G22+H22-C22-E22</f>
        <v>0</v>
      </c>
      <c r="J22" s="19">
        <f>C22-G22</f>
        <v>-66194</v>
      </c>
      <c r="K22" s="19"/>
    </row>
    <row r="23" ht="20.05" customHeight="1">
      <c r="B23" s="28"/>
      <c r="C23" s="18">
        <v>26465</v>
      </c>
      <c r="D23" s="19">
        <v>319616</v>
      </c>
      <c r="E23" s="19">
        <f>D23-C23</f>
        <v>293151</v>
      </c>
      <c r="F23" s="19">
        <f>F22+'Cashflow '!D23</f>
        <v>83155</v>
      </c>
      <c r="G23" s="19">
        <v>97072</v>
      </c>
      <c r="H23" s="19">
        <v>222544</v>
      </c>
      <c r="I23" s="19">
        <f>G23+H23-C23-E23</f>
        <v>0</v>
      </c>
      <c r="J23" s="19">
        <f>C23-G23</f>
        <v>-70607</v>
      </c>
      <c r="K23" s="34"/>
    </row>
    <row r="24" ht="20.05" customHeight="1">
      <c r="B24" s="29">
        <v>2021</v>
      </c>
      <c r="C24" s="18">
        <v>26622</v>
      </c>
      <c r="D24" s="19">
        <v>327095</v>
      </c>
      <c r="E24" s="19">
        <f>D24-C24</f>
        <v>300473</v>
      </c>
      <c r="F24" s="19">
        <f>F23+'Cashflow '!D24</f>
        <v>85747</v>
      </c>
      <c r="G24" s="19">
        <v>97082</v>
      </c>
      <c r="H24" s="19">
        <v>230013</v>
      </c>
      <c r="I24" s="19">
        <f>G24+H24-C24-E24</f>
        <v>0</v>
      </c>
      <c r="J24" s="19">
        <f>C24-G24</f>
        <v>-70460</v>
      </c>
      <c r="K24" s="19"/>
    </row>
    <row r="25" ht="20.05" customHeight="1">
      <c r="B25" s="28"/>
      <c r="C25" s="18">
        <v>23630</v>
      </c>
      <c r="D25" s="19">
        <v>335387</v>
      </c>
      <c r="E25" s="19">
        <f>D25-C25</f>
        <v>311757</v>
      </c>
      <c r="F25" s="19">
        <f>F24+'Cashflow '!D25</f>
        <v>89983</v>
      </c>
      <c r="G25" s="19">
        <v>97822</v>
      </c>
      <c r="H25" s="19">
        <v>237565</v>
      </c>
      <c r="I25" s="19">
        <f>G25+H25-C25-E25</f>
        <v>0</v>
      </c>
      <c r="J25" s="19">
        <f>C25-G25</f>
        <v>-74192</v>
      </c>
      <c r="K25" s="19"/>
    </row>
    <row r="26" ht="20.05" customHeight="1">
      <c r="B26" s="28"/>
      <c r="C26" s="18">
        <v>23719</v>
      </c>
      <c r="D26" s="19">
        <v>347403</v>
      </c>
      <c r="E26" s="19">
        <f>D26-C26</f>
        <v>323684</v>
      </c>
      <c r="F26" s="19">
        <f>F25+'Cashflow '!D26</f>
        <v>93780</v>
      </c>
      <c r="G26" s="19">
        <v>102836</v>
      </c>
      <c r="H26" s="19">
        <v>244567</v>
      </c>
      <c r="I26" s="19">
        <f>G26+H26-C26-E26</f>
        <v>0</v>
      </c>
      <c r="J26" s="19">
        <f>C26-G26</f>
        <v>-79117</v>
      </c>
      <c r="K26" s="19">
        <f>J26</f>
        <v>-79117</v>
      </c>
    </row>
    <row r="27" ht="20.05" customHeight="1">
      <c r="B27" s="28"/>
      <c r="C27" s="18"/>
      <c r="D27" s="19"/>
      <c r="E27" s="19"/>
      <c r="F27" s="19"/>
      <c r="G27" s="19"/>
      <c r="H27" s="19"/>
      <c r="I27" s="19"/>
      <c r="J27" s="19"/>
      <c r="K27" s="19">
        <f>'Model'!F30</f>
        <v>-53536.951689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7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1.4141" style="35" customWidth="1"/>
    <col min="2" max="3" width="11.8906" style="35" customWidth="1"/>
    <col min="4" max="16384" width="16.3516" style="35" customWidth="1"/>
  </cols>
  <sheetData>
    <row r="1" ht="27.65" customHeight="1">
      <c r="A1" t="s" s="2">
        <v>53</v>
      </c>
      <c r="B1" s="2"/>
      <c r="C1" s="2"/>
    </row>
    <row r="2" ht="20.25" customHeight="1">
      <c r="A2" s="5"/>
      <c r="B2" t="s" s="4">
        <v>54</v>
      </c>
      <c r="C2" t="s" s="4">
        <v>55</v>
      </c>
    </row>
    <row r="3" ht="20.25" customHeight="1">
      <c r="A3" s="24">
        <v>2016</v>
      </c>
      <c r="B3" s="31">
        <v>697.77002</v>
      </c>
      <c r="C3" s="9"/>
    </row>
    <row r="4" ht="20.05" customHeight="1">
      <c r="A4" s="28"/>
      <c r="B4" s="18">
        <v>744.950012</v>
      </c>
      <c r="C4" s="21"/>
    </row>
    <row r="5" ht="20.05" customHeight="1">
      <c r="A5" s="28"/>
      <c r="B5" s="18">
        <v>693.01001</v>
      </c>
      <c r="C5" s="21"/>
    </row>
    <row r="6" ht="20.05" customHeight="1">
      <c r="A6" s="28"/>
      <c r="B6" s="18">
        <v>735.719971</v>
      </c>
      <c r="C6" s="21"/>
    </row>
    <row r="7" ht="20.05" customHeight="1">
      <c r="A7" s="28"/>
      <c r="B7" s="18">
        <v>692.099976</v>
      </c>
      <c r="C7" s="21"/>
    </row>
    <row r="8" ht="20.05" customHeight="1">
      <c r="A8" s="28"/>
      <c r="B8" s="18">
        <v>768.789978</v>
      </c>
      <c r="C8" s="21"/>
    </row>
    <row r="9" ht="20.05" customHeight="1">
      <c r="A9" s="28"/>
      <c r="B9" s="18">
        <v>767.049988</v>
      </c>
      <c r="C9" s="21"/>
    </row>
    <row r="10" ht="20.05" customHeight="1">
      <c r="A10" s="28"/>
      <c r="B10" s="18">
        <v>777.289978</v>
      </c>
      <c r="C10" s="21"/>
    </row>
    <row r="11" ht="20.05" customHeight="1">
      <c r="A11" s="28"/>
      <c r="B11" s="18">
        <v>784.539978</v>
      </c>
      <c r="C11" s="21"/>
    </row>
    <row r="12" ht="20.05" customHeight="1">
      <c r="A12" s="28"/>
      <c r="B12" s="18">
        <v>758.039978</v>
      </c>
      <c r="C12" s="21"/>
    </row>
    <row r="13" ht="20.05" customHeight="1">
      <c r="A13" s="28"/>
      <c r="B13" s="18">
        <v>771.820007</v>
      </c>
      <c r="C13" s="21"/>
    </row>
    <row r="14" ht="20.05" customHeight="1">
      <c r="A14" s="28"/>
      <c r="B14" s="18">
        <v>796.789978</v>
      </c>
      <c r="C14" s="21"/>
    </row>
    <row r="15" ht="20.05" customHeight="1">
      <c r="A15" s="29">
        <v>2017</v>
      </c>
      <c r="B15" s="18">
        <v>823.210022</v>
      </c>
      <c r="C15" s="21"/>
    </row>
    <row r="16" ht="20.05" customHeight="1">
      <c r="A16" s="28"/>
      <c r="B16" s="18">
        <v>829.559998</v>
      </c>
      <c r="C16" s="21"/>
    </row>
    <row r="17" ht="20.05" customHeight="1">
      <c r="A17" s="28"/>
      <c r="B17" s="18">
        <v>905.960022</v>
      </c>
      <c r="C17" s="21"/>
    </row>
    <row r="18" ht="20.05" customHeight="1">
      <c r="A18" s="28"/>
      <c r="B18" s="18">
        <v>964.8599850000001</v>
      </c>
      <c r="C18" s="21"/>
    </row>
    <row r="19" ht="20.05" customHeight="1">
      <c r="A19" s="28"/>
      <c r="B19" s="18">
        <v>908.72998</v>
      </c>
      <c r="C19" s="21"/>
    </row>
    <row r="20" ht="20.05" customHeight="1">
      <c r="A20" s="28"/>
      <c r="B20" s="18">
        <v>930.5</v>
      </c>
      <c r="C20" s="21"/>
    </row>
    <row r="21" ht="20.05" customHeight="1">
      <c r="A21" s="28"/>
      <c r="B21" s="18">
        <v>939.330017</v>
      </c>
      <c r="C21" s="21"/>
    </row>
    <row r="22" ht="20.05" customHeight="1">
      <c r="A22" s="28"/>
      <c r="B22" s="18">
        <v>959.1099850000001</v>
      </c>
      <c r="C22" s="21"/>
    </row>
    <row r="23" ht="20.05" customHeight="1">
      <c r="A23" s="28"/>
      <c r="B23" s="18">
        <v>1016.640015</v>
      </c>
      <c r="C23" s="21"/>
    </row>
    <row r="24" ht="20.05" customHeight="1">
      <c r="A24" s="28"/>
      <c r="B24" s="18">
        <v>1021.409973</v>
      </c>
      <c r="C24" s="21"/>
    </row>
    <row r="25" ht="20.05" customHeight="1">
      <c r="A25" s="28"/>
      <c r="B25" s="18">
        <v>1046.400024</v>
      </c>
      <c r="C25" s="21"/>
    </row>
    <row r="26" ht="20.05" customHeight="1">
      <c r="A26" s="28"/>
      <c r="B26" s="18">
        <v>1169.939941</v>
      </c>
      <c r="C26" s="21"/>
    </row>
    <row r="27" ht="20.05" customHeight="1">
      <c r="A27" s="29">
        <v>2018</v>
      </c>
      <c r="B27" s="18">
        <v>1104.72998</v>
      </c>
      <c r="C27" s="21"/>
    </row>
    <row r="28" ht="20.05" customHeight="1">
      <c r="A28" s="28"/>
      <c r="B28" s="18">
        <v>1031.790039</v>
      </c>
      <c r="C28" s="21"/>
    </row>
    <row r="29" ht="20.05" customHeight="1">
      <c r="A29" s="28"/>
      <c r="B29" s="18">
        <v>1017.330017</v>
      </c>
      <c r="C29" s="21"/>
    </row>
    <row r="30" ht="20.05" customHeight="1">
      <c r="A30" s="28"/>
      <c r="B30" s="18">
        <v>1084.98999</v>
      </c>
      <c r="C30" s="21"/>
    </row>
    <row r="31" ht="20.05" customHeight="1">
      <c r="A31" s="28"/>
      <c r="B31" s="18">
        <v>1115.650024</v>
      </c>
      <c r="C31" s="21"/>
    </row>
    <row r="32" ht="20.05" customHeight="1">
      <c r="A32" s="28"/>
      <c r="B32" s="18">
        <v>1217.26001</v>
      </c>
      <c r="C32" s="21"/>
    </row>
    <row r="33" ht="20.05" customHeight="1">
      <c r="A33" s="28"/>
      <c r="B33" s="18">
        <v>1218.189941</v>
      </c>
      <c r="C33" s="21"/>
    </row>
    <row r="34" ht="20.05" customHeight="1">
      <c r="A34" s="28"/>
      <c r="B34" s="18">
        <v>1193.469971</v>
      </c>
      <c r="C34" s="21"/>
    </row>
    <row r="35" ht="20.05" customHeight="1">
      <c r="A35" s="28"/>
      <c r="B35" s="18">
        <v>1076.77002</v>
      </c>
      <c r="C35" s="21"/>
    </row>
    <row r="36" ht="20.05" customHeight="1">
      <c r="A36" s="28"/>
      <c r="B36" s="18">
        <v>1094.430054</v>
      </c>
      <c r="C36" s="21"/>
    </row>
    <row r="37" ht="20.05" customHeight="1">
      <c r="A37" s="28"/>
      <c r="B37" s="18">
        <v>1035.609985</v>
      </c>
      <c r="C37" s="21"/>
    </row>
    <row r="38" ht="20.05" customHeight="1">
      <c r="A38" s="28"/>
      <c r="B38" s="18">
        <v>1116.369995</v>
      </c>
      <c r="C38" s="21"/>
    </row>
    <row r="39" ht="20.05" customHeight="1">
      <c r="A39" s="29">
        <v>2019</v>
      </c>
      <c r="B39" s="18">
        <v>1119.920044</v>
      </c>
      <c r="C39" s="21"/>
    </row>
    <row r="40" ht="20.05" customHeight="1">
      <c r="A40" s="28"/>
      <c r="B40" s="18">
        <v>1173.310059</v>
      </c>
      <c r="C40" s="21"/>
    </row>
    <row r="41" ht="20.05" customHeight="1">
      <c r="A41" s="28"/>
      <c r="B41" s="18">
        <v>1188.47998</v>
      </c>
      <c r="C41" s="21"/>
    </row>
    <row r="42" ht="20.05" customHeight="1">
      <c r="A42" s="28"/>
      <c r="B42" s="18">
        <v>1103.630005</v>
      </c>
      <c r="C42" s="21"/>
    </row>
    <row r="43" ht="20.05" customHeight="1">
      <c r="A43" s="28"/>
      <c r="B43" s="18">
        <v>1080.910034</v>
      </c>
      <c r="C43" s="21"/>
    </row>
    <row r="44" ht="20.05" customHeight="1">
      <c r="A44" s="28"/>
      <c r="B44" s="18">
        <v>1216.680054</v>
      </c>
      <c r="C44" s="21"/>
    </row>
    <row r="45" ht="20.05" customHeight="1">
      <c r="A45" s="28"/>
      <c r="B45" s="18">
        <v>1188.099976</v>
      </c>
      <c r="C45" s="21"/>
    </row>
    <row r="46" ht="20.05" customHeight="1">
      <c r="A46" s="28"/>
      <c r="B46" s="18">
        <v>1219</v>
      </c>
      <c r="C46" s="21"/>
    </row>
    <row r="47" ht="20.05" customHeight="1">
      <c r="A47" s="28"/>
      <c r="B47" s="18">
        <v>1260.109985</v>
      </c>
      <c r="C47" s="21"/>
    </row>
    <row r="48" ht="20.05" customHeight="1">
      <c r="A48" s="28"/>
      <c r="B48" s="18">
        <v>1304.959961</v>
      </c>
      <c r="C48" s="21"/>
    </row>
    <row r="49" ht="20.05" customHeight="1">
      <c r="A49" s="28"/>
      <c r="B49" s="18">
        <v>1337.02002</v>
      </c>
      <c r="C49" s="21"/>
    </row>
    <row r="50" ht="20.05" customHeight="1">
      <c r="A50" s="28"/>
      <c r="B50" s="18">
        <v>1434.22998</v>
      </c>
      <c r="C50" s="21"/>
    </row>
    <row r="51" ht="20.05" customHeight="1">
      <c r="A51" s="29">
        <v>2020</v>
      </c>
      <c r="B51" s="18">
        <v>1434.22998</v>
      </c>
      <c r="C51" s="21"/>
    </row>
    <row r="52" ht="20.05" customHeight="1">
      <c r="A52" s="28"/>
      <c r="B52" s="18">
        <v>1339.329956</v>
      </c>
      <c r="C52" s="21"/>
    </row>
    <row r="53" ht="20.05" customHeight="1">
      <c r="A53" s="28"/>
      <c r="B53" s="18">
        <v>1162.810059</v>
      </c>
      <c r="C53" s="21"/>
    </row>
    <row r="54" ht="20.05" customHeight="1">
      <c r="A54" s="28"/>
      <c r="B54" s="18">
        <v>1348.660034</v>
      </c>
      <c r="C54" s="21"/>
    </row>
    <row r="55" ht="20.05" customHeight="1">
      <c r="A55" s="28"/>
      <c r="B55" s="18">
        <v>1428.920044</v>
      </c>
      <c r="C55" s="21"/>
    </row>
    <row r="56" ht="20.05" customHeight="1">
      <c r="A56" s="28"/>
      <c r="B56" s="18">
        <v>1413.609985</v>
      </c>
      <c r="C56" s="21"/>
    </row>
    <row r="57" ht="20.05" customHeight="1">
      <c r="A57" s="28"/>
      <c r="B57" s="18">
        <v>1482.959961</v>
      </c>
      <c r="C57" s="21"/>
    </row>
    <row r="58" ht="20.05" customHeight="1">
      <c r="A58" s="28"/>
      <c r="B58" s="18">
        <v>1634.180054</v>
      </c>
      <c r="C58" s="21"/>
    </row>
    <row r="59" ht="20.05" customHeight="1">
      <c r="A59" s="28"/>
      <c r="B59" s="18">
        <v>1469.599976</v>
      </c>
      <c r="C59" s="21"/>
    </row>
    <row r="60" ht="20.05" customHeight="1">
      <c r="A60" s="28"/>
      <c r="B60" s="18">
        <v>1621.01001</v>
      </c>
      <c r="C60" s="21"/>
    </row>
    <row r="61" ht="20.05" customHeight="1">
      <c r="A61" s="28"/>
      <c r="B61" s="18">
        <v>1760.73999</v>
      </c>
      <c r="C61" s="21"/>
    </row>
    <row r="62" ht="20.05" customHeight="1">
      <c r="A62" s="28"/>
      <c r="B62" s="18">
        <v>1751.880005</v>
      </c>
      <c r="C62" s="21"/>
    </row>
    <row r="63" ht="20.05" customHeight="1">
      <c r="A63" s="29">
        <v>2021</v>
      </c>
      <c r="B63" s="18">
        <v>1835.73999</v>
      </c>
      <c r="C63" s="21"/>
    </row>
    <row r="64" ht="20.05" customHeight="1">
      <c r="A64" s="28"/>
      <c r="B64" s="18">
        <v>2036.859985</v>
      </c>
      <c r="C64" s="21"/>
    </row>
    <row r="65" ht="20.05" customHeight="1">
      <c r="A65" s="28"/>
      <c r="B65" s="18">
        <v>2068.629883</v>
      </c>
      <c r="C65" s="21"/>
    </row>
    <row r="66" ht="20.05" customHeight="1">
      <c r="A66" s="28"/>
      <c r="B66" s="18">
        <v>2410.120117</v>
      </c>
      <c r="C66" s="21"/>
    </row>
    <row r="67" ht="20.05" customHeight="1">
      <c r="A67" s="28"/>
      <c r="B67" s="18">
        <v>2429.81</v>
      </c>
      <c r="C67" s="21"/>
    </row>
    <row r="68" ht="20.05" customHeight="1">
      <c r="A68" s="28"/>
      <c r="B68" s="18">
        <v>2527.37</v>
      </c>
      <c r="C68" s="21"/>
    </row>
    <row r="69" ht="20.05" customHeight="1">
      <c r="A69" s="28"/>
      <c r="B69" s="18">
        <v>2704.42</v>
      </c>
      <c r="C69" s="21"/>
    </row>
    <row r="70" ht="20.05" customHeight="1">
      <c r="A70" s="28"/>
      <c r="B70" s="18">
        <v>2916.84</v>
      </c>
      <c r="C70" s="21"/>
    </row>
    <row r="71" ht="20.05" customHeight="1">
      <c r="A71" s="28"/>
      <c r="B71" s="18">
        <v>2729.35</v>
      </c>
      <c r="C71" s="19">
        <v>3194.270234658220</v>
      </c>
    </row>
    <row r="72" ht="20.05" customHeight="1">
      <c r="A72" s="28"/>
      <c r="B72" s="18">
        <v>2928.55</v>
      </c>
      <c r="C72" s="19">
        <f>B72</f>
        <v>2928.55</v>
      </c>
    </row>
    <row r="73" ht="20.05" customHeight="1">
      <c r="A73" s="28"/>
      <c r="B73" s="18"/>
      <c r="C73" s="19">
        <f>'Model'!F42</f>
        <v>3229.567822728290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