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<sst xmlns="http://schemas.openxmlformats.org/spreadsheetml/2006/main" uniqueCount="53">
  <si>
    <t>Financial model</t>
  </si>
  <si>
    <t>Rpbn</t>
  </si>
  <si>
    <t>4Q 2021</t>
  </si>
  <si>
    <t>Cashflow</t>
  </si>
  <si>
    <t xml:space="preserve">Growth </t>
  </si>
  <si>
    <t xml:space="preserve">Sales </t>
  </si>
  <si>
    <t xml:space="preserve">Cost ratio </t>
  </si>
  <si>
    <t xml:space="preserve">Cash costs </t>
  </si>
  <si>
    <t>Operating</t>
  </si>
  <si>
    <t xml:space="preserve">Investment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</si>
  <si>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</si>
  <si>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</si>
  <si>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</si>
  <si>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</si>
  <si>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Financial </t>
  </si>
  <si>
    <t xml:space="preserve">Beginning </t>
  </si>
  <si>
    <t>Change</t>
  </si>
  <si>
    <t>Ending</t>
  </si>
  <si>
    <t xml:space="preserve">Profit </t>
  </si>
  <si>
    <t>Non cash costs</t>
  </si>
  <si>
    <t xml:space="preserve">Balance sheet 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</si>
  <si>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</si>
  <si>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</si>
  <si>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</si>
  <si>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</si>
  <si>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</si>
  <si>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</si>
  <si>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Capital </t>
  </si>
  <si>
    <t>Current value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</si>
  <si>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</si>
  <si>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</si>
  <si>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</si>
  <si>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</si>
  <si>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</si>
  <si>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</si>
  <si>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</si>
  <si>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</si>
  <si>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</si>
  <si>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</si>
  <si>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</si>
  <si>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>Sales</t>
  </si>
  <si>
    <t>Non cash</t>
  </si>
  <si>
    <t xml:space="preserve">Cashflow costs </t>
  </si>
  <si>
    <t xml:space="preserve">Receipts </t>
  </si>
  <si>
    <t xml:space="preserve">Operating </t>
  </si>
  <si>
    <t>Equity</t>
  </si>
  <si>
    <t>Free cashflow</t>
  </si>
  <si>
    <t xml:space="preserve">Cashflow </t>
  </si>
  <si>
    <t>Balance sheet</t>
  </si>
  <si>
    <t xml:space="preserve">Cash </t>
  </si>
  <si>
    <t>Assets</t>
  </si>
  <si>
    <t>Net cash</t>
  </si>
  <si>
    <t>Share price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</si>
</sst>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377790</xdr:colOff>
      <xdr:row>0</xdr:row>
      <xdr:rowOff>306734</xdr:rowOff>
    </xdr:from>
    <xdr:to>
      <xdr:col>12</xdr:col>
      <xdr:colOff>544662</xdr:colOff>
      <xdr:row>44</xdr:row>
      <xdr:rowOff>225252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619590" y="306734"/>
          <a:ext cx="8879073" cy="1122405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5" width="9.76562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t="s" s="4">
        <v>2</v>
      </c>
      <c r="C2" s="5"/>
      <c r="D2" s="6"/>
      <c r="E2" s="6"/>
    </row>
    <row r="3" ht="20.25" customHeight="1">
      <c r="A3" t="s" s="7">
        <v>3</v>
      </c>
      <c r="B3" s="8">
        <f>AVERAGE('Sales'!F14:F17)</f>
        <v>-0.0204117699712748</v>
      </c>
      <c r="C3" s="9"/>
      <c r="D3" s="9"/>
      <c r="E3" s="10">
        <f>AVERAGE(B4:E4)</f>
        <v>0.0825</v>
      </c>
    </row>
    <row r="4" ht="20.05" customHeight="1">
      <c r="A4" t="s" s="11">
        <v>4</v>
      </c>
      <c r="B4" s="12">
        <v>0.17</v>
      </c>
      <c r="C4" s="13">
        <v>-0.07000000000000001</v>
      </c>
      <c r="D4" s="13">
        <v>-0.07000000000000001</v>
      </c>
      <c r="E4" s="13">
        <v>0.3</v>
      </c>
    </row>
    <row r="5" ht="20.05" customHeight="1">
      <c r="A5" t="s" s="11">
        <v>5</v>
      </c>
      <c r="B5" s="14">
        <f>'Sales'!B17*(1+B4)</f>
        <v>547.677</v>
      </c>
      <c r="C5" s="15">
        <f>B5*(1+C4)</f>
        <v>509.33961</v>
      </c>
      <c r="D5" s="15">
        <f>C5*(1+D4)</f>
        <v>473.6858373</v>
      </c>
      <c r="E5" s="15">
        <f>D5*(1+E4)</f>
        <v>615.79158849</v>
      </c>
    </row>
    <row r="6" ht="20.05" customHeight="1">
      <c r="A6" t="s" s="11">
        <v>6</v>
      </c>
      <c r="B6" s="12">
        <f>AVERAGE('Sales'!G17)</f>
        <v>-0.944029053621021</v>
      </c>
      <c r="C6" s="13">
        <f>B6</f>
        <v>-0.944029053621021</v>
      </c>
      <c r="D6" s="13">
        <f>C6</f>
        <v>-0.944029053621021</v>
      </c>
      <c r="E6" s="13">
        <f>D6</f>
        <v>-0.944029053621021</v>
      </c>
    </row>
    <row r="7" ht="20.05" customHeight="1">
      <c r="A7" t="s" s="11">
        <v>7</v>
      </c>
      <c r="B7" s="14">
        <f>B5*B6</f>
        <v>-517.023</v>
      </c>
      <c r="C7" s="15">
        <f>C5*C6</f>
        <v>-480.83139</v>
      </c>
      <c r="D7" s="15">
        <f>D5*D6</f>
        <v>-447.1731927</v>
      </c>
      <c r="E7" s="15">
        <f>E5*E6</f>
        <v>-581.32515051</v>
      </c>
    </row>
    <row r="8" ht="20.05" customHeight="1">
      <c r="A8" t="s" s="11">
        <v>8</v>
      </c>
      <c r="B8" s="14">
        <f>B5+B7</f>
        <v>30.654</v>
      </c>
      <c r="C8" s="15">
        <f>C5+C7</f>
        <v>28.50822</v>
      </c>
      <c r="D8" s="15">
        <f>D5+D7</f>
        <v>26.5126446</v>
      </c>
      <c r="E8" s="15">
        <f>E5+E7</f>
        <v>34.46643798</v>
      </c>
    </row>
    <row r="9" ht="20.05" customHeight="1">
      <c r="A9" t="s" s="11">
        <v>9</v>
      </c>
      <c r="B9" s="14">
        <f>AVERAGE('Cashflow '!E16:E18)</f>
        <v>-10.5</v>
      </c>
      <c r="C9" s="15">
        <f>B9</f>
        <v>-10.5</v>
      </c>
      <c r="D9" s="15">
        <f>C9</f>
        <v>-10.5</v>
      </c>
      <c r="E9" s="15">
        <f>D9</f>
        <v>-10.5</v>
      </c>
    </row>
    <row r="10" ht="20.05" customHeight="1">
      <c r="A10" t="s" s="11">
        <v>10</v>
      </c>
      <c r="B10" s="14">
        <f>-'Balance sheet'!G18/20</f>
        <v>-14.85</v>
      </c>
      <c r="C10" s="15">
        <f>-B25/20</f>
        <v>-14.1075</v>
      </c>
      <c r="D10" s="15">
        <f>-C25/20</f>
        <v>-13.402125</v>
      </c>
      <c r="E10" s="15">
        <f>-D25/20</f>
        <v>-12.73201875</v>
      </c>
    </row>
    <row r="11" ht="20.05" customHeight="1">
      <c r="A11" t="s" s="11">
        <v>11</v>
      </c>
      <c r="B11" s="14">
        <f>IF(B20&gt;0,-B20*0.3,0)</f>
        <v>-7.7862</v>
      </c>
      <c r="C11" s="15">
        <f>IF(C20&gt;0,-C20*0.3,0)</f>
        <v>-7.142466</v>
      </c>
      <c r="D11" s="15">
        <f>IF(D20&gt;0,-D20*0.3,0)</f>
        <v>-6.54379338</v>
      </c>
      <c r="E11" s="15">
        <f>IF(E20&gt;0,-E20*0.3,0)</f>
        <v>-8.929931394</v>
      </c>
    </row>
    <row r="12" ht="20.05" customHeight="1">
      <c r="A12" t="s" s="11">
        <v>12</v>
      </c>
      <c r="B12" s="14">
        <f>B8+B9+B10+B11</f>
        <v>-2.4822</v>
      </c>
      <c r="C12" s="15">
        <f>C8+C9+C10+C11</f>
        <v>-3.241746</v>
      </c>
      <c r="D12" s="15">
        <f>D8+D9+D10+D11</f>
        <v>-3.93327378</v>
      </c>
      <c r="E12" s="15">
        <f>E8+E9+E10+E11</f>
        <v>2.304487836</v>
      </c>
    </row>
    <row r="13" ht="20.05" customHeight="1">
      <c r="A13" t="s" s="11">
        <v>13</v>
      </c>
      <c r="B13" s="14">
        <f>-MIN(0,B12)</f>
        <v>2.4822</v>
      </c>
      <c r="C13" s="15">
        <f>-MIN(B26,C12)</f>
        <v>3.241746</v>
      </c>
      <c r="D13" s="15">
        <f>-MIN(C26,D12)</f>
        <v>3.93327378</v>
      </c>
      <c r="E13" s="15">
        <f>-MIN(D26,E12)</f>
        <v>-2.304487836</v>
      </c>
    </row>
    <row r="14" ht="20.05" customHeight="1">
      <c r="A14" t="s" s="11">
        <v>14</v>
      </c>
      <c r="B14" s="14">
        <f>B10+B11+B13</f>
        <v>-20.154</v>
      </c>
      <c r="C14" s="15">
        <f>C10+C11+C13</f>
        <v>-18.00822</v>
      </c>
      <c r="D14" s="15">
        <f>D10+D11+D13</f>
        <v>-16.0126446</v>
      </c>
      <c r="E14" s="15">
        <f>E10+E11+E13</f>
        <v>-23.96643798</v>
      </c>
    </row>
    <row r="15" ht="20.05" customHeight="1">
      <c r="A15" t="s" s="11">
        <v>15</v>
      </c>
      <c r="B15" s="14">
        <f>'Balance sheet'!C18</f>
        <v>53</v>
      </c>
      <c r="C15" s="15">
        <f>B17</f>
        <v>53</v>
      </c>
      <c r="D15" s="15">
        <f>C17</f>
        <v>53</v>
      </c>
      <c r="E15" s="15">
        <f>D17</f>
        <v>53</v>
      </c>
    </row>
    <row r="16" ht="20.05" customHeight="1">
      <c r="A16" t="s" s="11">
        <v>16</v>
      </c>
      <c r="B16" s="14">
        <f>B8+B9+B14</f>
        <v>0</v>
      </c>
      <c r="C16" s="15">
        <f>C8+C9+C14</f>
        <v>0</v>
      </c>
      <c r="D16" s="15">
        <f>D8+D9+D14</f>
        <v>0</v>
      </c>
      <c r="E16" s="15">
        <f>E8+E9+E14</f>
        <v>0</v>
      </c>
    </row>
    <row r="17" ht="20.05" customHeight="1">
      <c r="A17" t="s" s="11">
        <v>17</v>
      </c>
      <c r="B17" s="14">
        <f>B15+B16</f>
        <v>53</v>
      </c>
      <c r="C17" s="15">
        <f>C15+C16</f>
        <v>53</v>
      </c>
      <c r="D17" s="15">
        <f>D15+D16</f>
        <v>53</v>
      </c>
      <c r="E17" s="15">
        <f>E15+E16</f>
        <v>53</v>
      </c>
    </row>
    <row r="18" ht="20.05" customHeight="1">
      <c r="A18" t="s" s="16">
        <v>18</v>
      </c>
      <c r="B18" s="14"/>
      <c r="C18" s="15"/>
      <c r="D18" s="15"/>
      <c r="E18" s="17"/>
    </row>
    <row r="19" ht="20.05" customHeight="1">
      <c r="A19" t="s" s="11">
        <v>19</v>
      </c>
      <c r="B19" s="14">
        <f>-'Sales'!E17</f>
        <v>-4.7</v>
      </c>
      <c r="C19" s="15">
        <f>B19</f>
        <v>-4.7</v>
      </c>
      <c r="D19" s="15">
        <f>C19</f>
        <v>-4.7</v>
      </c>
      <c r="E19" s="15">
        <f>D19</f>
        <v>-4.7</v>
      </c>
    </row>
    <row r="20" ht="20.05" customHeight="1">
      <c r="A20" t="s" s="11">
        <v>18</v>
      </c>
      <c r="B20" s="14">
        <f>B5+B7+B19</f>
        <v>25.954</v>
      </c>
      <c r="C20" s="15">
        <f>C5+C7+C19</f>
        <v>23.80822</v>
      </c>
      <c r="D20" s="15">
        <f>D5+D7+D19</f>
        <v>21.8126446</v>
      </c>
      <c r="E20" s="15">
        <f>E5+E7+E19</f>
        <v>29.76643798</v>
      </c>
    </row>
    <row r="21" ht="20.05" customHeight="1">
      <c r="A21" t="s" s="16">
        <v>20</v>
      </c>
      <c r="B21" s="14"/>
      <c r="C21" s="15"/>
      <c r="D21" s="15"/>
      <c r="E21" s="15"/>
    </row>
    <row r="22" ht="20.05" customHeight="1">
      <c r="A22" t="s" s="11">
        <v>21</v>
      </c>
      <c r="B22" s="14">
        <f>'Balance sheet'!E18+'Balance sheet'!F18-B9</f>
        <v>531.5</v>
      </c>
      <c r="C22" s="15">
        <f>B22-C9</f>
        <v>542</v>
      </c>
      <c r="D22" s="15">
        <f>C22-D9</f>
        <v>552.5</v>
      </c>
      <c r="E22" s="15">
        <f>D22-E9</f>
        <v>563</v>
      </c>
    </row>
    <row r="23" ht="20.05" customHeight="1">
      <c r="A23" t="s" s="11">
        <v>22</v>
      </c>
      <c r="B23" s="14">
        <f>'Balance sheet'!F18-B19</f>
        <v>68.7</v>
      </c>
      <c r="C23" s="15">
        <f>B23-C19</f>
        <v>73.40000000000001</v>
      </c>
      <c r="D23" s="15">
        <f>C23-D19</f>
        <v>78.09999999999999</v>
      </c>
      <c r="E23" s="15">
        <f>D23-E19</f>
        <v>82.8</v>
      </c>
    </row>
    <row r="24" ht="20.05" customHeight="1">
      <c r="A24" t="s" s="11">
        <v>23</v>
      </c>
      <c r="B24" s="14">
        <f>B22-B23</f>
        <v>462.8</v>
      </c>
      <c r="C24" s="15">
        <f>C22-C23</f>
        <v>468.6</v>
      </c>
      <c r="D24" s="15">
        <f>D22-D23</f>
        <v>474.4</v>
      </c>
      <c r="E24" s="15">
        <f>E22-E23</f>
        <v>480.2</v>
      </c>
    </row>
    <row r="25" ht="20.05" customHeight="1">
      <c r="A25" t="s" s="11">
        <v>10</v>
      </c>
      <c r="B25" s="14">
        <f>'Balance sheet'!G18+B10</f>
        <v>282.15</v>
      </c>
      <c r="C25" s="15">
        <f>B25+C10</f>
        <v>268.0425</v>
      </c>
      <c r="D25" s="15">
        <f>C25+D10</f>
        <v>254.640375</v>
      </c>
      <c r="E25" s="15">
        <f>D25+E10</f>
        <v>241.90835625</v>
      </c>
    </row>
    <row r="26" ht="20.05" customHeight="1">
      <c r="A26" t="s" s="11">
        <v>13</v>
      </c>
      <c r="B26" s="14">
        <f>B13</f>
        <v>2.4822</v>
      </c>
      <c r="C26" s="15">
        <f>B26+C13</f>
        <v>5.723946</v>
      </c>
      <c r="D26" s="15">
        <f>C26+D13</f>
        <v>9.65721978</v>
      </c>
      <c r="E26" s="15">
        <f>D26+E13</f>
        <v>7.352731944</v>
      </c>
    </row>
    <row r="27" ht="20.05" customHeight="1">
      <c r="A27" t="s" s="11">
        <v>11</v>
      </c>
      <c r="B27" s="14">
        <f>'Balance sheet'!H18+B20+B11</f>
        <v>231.1678</v>
      </c>
      <c r="C27" s="15">
        <f>B27+C20+C11</f>
        <v>247.833554</v>
      </c>
      <c r="D27" s="15">
        <f>C27+D20+D11</f>
        <v>263.10240522</v>
      </c>
      <c r="E27" s="15">
        <f>D27+E20+E11</f>
        <v>283.938911806</v>
      </c>
    </row>
    <row r="28" ht="20.05" customHeight="1">
      <c r="A28" t="s" s="11">
        <v>24</v>
      </c>
      <c r="B28" s="14">
        <f>B25+B26+B27-B17-B24</f>
        <v>0</v>
      </c>
      <c r="C28" s="15">
        <f>C25+C26+C27-C17-C24</f>
        <v>0</v>
      </c>
      <c r="D28" s="15">
        <f>D25+D26+D27-D17-D24</f>
        <v>0</v>
      </c>
      <c r="E28" s="15">
        <f>E25+E26+E27-E17-E24</f>
        <v>0</v>
      </c>
    </row>
    <row r="29" ht="20.05" customHeight="1">
      <c r="A29" t="s" s="11">
        <v>25</v>
      </c>
      <c r="B29" s="14">
        <f>B17-B25-B26</f>
        <v>-231.6322</v>
      </c>
      <c r="C29" s="15">
        <f>C17-C25-C26</f>
        <v>-220.766446</v>
      </c>
      <c r="D29" s="15">
        <f>D17-D25-D26</f>
        <v>-211.29759478</v>
      </c>
      <c r="E29" s="15">
        <f>E17-E25-E26</f>
        <v>-196.261088194</v>
      </c>
    </row>
    <row r="30" ht="20.05" customHeight="1">
      <c r="A30" t="s" s="16">
        <v>26</v>
      </c>
      <c r="B30" s="18"/>
      <c r="C30" s="17"/>
      <c r="D30" s="17"/>
      <c r="E30" s="17"/>
    </row>
    <row r="31" ht="20.05" customHeight="1">
      <c r="A31" t="s" s="11">
        <v>27</v>
      </c>
      <c r="B31" s="14">
        <f>'Cashflow '!J18-B14</f>
        <v>2449.054</v>
      </c>
      <c r="C31" s="15">
        <f>B31-C14</f>
        <v>2467.06222</v>
      </c>
      <c r="D31" s="15">
        <f>C31-D14</f>
        <v>2483.0748646</v>
      </c>
      <c r="E31" s="15">
        <f>D31-E14</f>
        <v>2507.04130258</v>
      </c>
    </row>
    <row r="32" ht="20.05" customHeight="1">
      <c r="A32" t="s" s="11">
        <v>28</v>
      </c>
      <c r="B32" s="18"/>
      <c r="C32" s="17"/>
      <c r="D32" s="17"/>
      <c r="E32" s="19">
        <v>414</v>
      </c>
    </row>
    <row r="33" ht="20.05" customHeight="1">
      <c r="A33" t="s" s="11">
        <v>29</v>
      </c>
      <c r="B33" s="18"/>
      <c r="C33" s="17"/>
      <c r="D33" s="17"/>
      <c r="E33" s="20">
        <f>E32/(E17+E24)</f>
        <v>0.776444111027757</v>
      </c>
    </row>
    <row r="34" ht="20.05" customHeight="1">
      <c r="A34" t="s" s="11">
        <v>30</v>
      </c>
      <c r="B34" s="18"/>
      <c r="C34" s="17"/>
      <c r="D34" s="17"/>
      <c r="E34" s="13">
        <f>-(B11+C11+D11+E11)/E32</f>
        <v>0.0734357265072464</v>
      </c>
    </row>
    <row r="35" ht="20.05" customHeight="1">
      <c r="A35" t="s" s="11">
        <v>3</v>
      </c>
      <c r="B35" s="18"/>
      <c r="C35" s="17"/>
      <c r="D35" s="17"/>
      <c r="E35" s="15">
        <f>SUM(B8:E9)</f>
        <v>78.14130258</v>
      </c>
    </row>
    <row r="36" ht="20.05" customHeight="1">
      <c r="A36" t="s" s="11">
        <v>31</v>
      </c>
      <c r="B36" s="18"/>
      <c r="C36" s="17"/>
      <c r="D36" s="17"/>
      <c r="E36" s="15">
        <f>'Balance sheet'!E18/E35</f>
        <v>5.84837960094317</v>
      </c>
    </row>
    <row r="37" ht="20.05" customHeight="1">
      <c r="A37" t="s" s="11">
        <v>26</v>
      </c>
      <c r="B37" s="18"/>
      <c r="C37" s="17"/>
      <c r="D37" s="17"/>
      <c r="E37" s="15">
        <f>E32/E35</f>
        <v>5.29809443061373</v>
      </c>
    </row>
    <row r="38" ht="20.05" customHeight="1">
      <c r="A38" t="s" s="11">
        <v>32</v>
      </c>
      <c r="B38" s="18"/>
      <c r="C38" s="17"/>
      <c r="D38" s="17"/>
      <c r="E38" s="19">
        <v>12</v>
      </c>
    </row>
    <row r="39" ht="20.05" customHeight="1">
      <c r="A39" t="s" s="11">
        <v>33</v>
      </c>
      <c r="B39" s="18"/>
      <c r="C39" s="17"/>
      <c r="D39" s="17"/>
      <c r="E39" s="15">
        <f>E35*E38</f>
        <v>937.69563096</v>
      </c>
    </row>
    <row r="40" ht="20.05" customHeight="1">
      <c r="A40" t="s" s="11">
        <v>34</v>
      </c>
      <c r="B40" s="18"/>
      <c r="C40" s="17"/>
      <c r="D40" s="17"/>
      <c r="E40" s="21">
        <f>E32/E42</f>
        <v>1.5</v>
      </c>
    </row>
    <row r="41" ht="20.05" customHeight="1">
      <c r="A41" t="s" s="11">
        <v>35</v>
      </c>
      <c r="B41" s="18"/>
      <c r="C41" s="17"/>
      <c r="D41" s="17"/>
      <c r="E41" s="15">
        <f>E39/E40</f>
        <v>625.13042064</v>
      </c>
    </row>
    <row r="42" ht="20.05" customHeight="1">
      <c r="A42" t="s" s="11">
        <v>36</v>
      </c>
      <c r="B42" s="18"/>
      <c r="C42" s="17"/>
      <c r="D42" s="17"/>
      <c r="E42" s="19">
        <f>'Share price '!B25</f>
        <v>276</v>
      </c>
    </row>
    <row r="43" ht="20.05" customHeight="1">
      <c r="A43" t="s" s="11">
        <v>37</v>
      </c>
      <c r="B43" s="18"/>
      <c r="C43" s="17"/>
      <c r="D43" s="17"/>
      <c r="E43" s="13">
        <f>E41/E42-1</f>
        <v>1.26496529217391</v>
      </c>
    </row>
    <row r="44" ht="20.05" customHeight="1">
      <c r="A44" t="s" s="11">
        <v>38</v>
      </c>
      <c r="B44" s="18"/>
      <c r="C44" s="17"/>
      <c r="D44" s="17"/>
      <c r="E44" s="13">
        <f>'Sales'!B17/'Sales'!B13-1</f>
        <v>-0.217224080267559</v>
      </c>
    </row>
    <row r="45" ht="20.05" customHeight="1">
      <c r="A45" t="s" s="11">
        <v>39</v>
      </c>
      <c r="B45" s="18"/>
      <c r="C45" s="17"/>
      <c r="D45" s="17"/>
      <c r="E45" s="13">
        <f>('Sales'!C16+'Sales'!C17)/('Sales'!B17+'Sales'!B16)-1</f>
        <v>-0.000592611272222923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2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9" width="9.78125" style="22" customWidth="1"/>
    <col min="10" max="16384" width="16.3516" style="22" customWidth="1"/>
  </cols>
  <sheetData>
    <row r="1" ht="27.65" customHeight="1">
      <c r="A1" t="s" s="2">
        <v>40</v>
      </c>
      <c r="B1" s="2"/>
      <c r="C1" s="2"/>
      <c r="D1" s="2"/>
      <c r="E1" s="2"/>
      <c r="F1" s="2"/>
      <c r="G1" s="2"/>
      <c r="H1" s="2"/>
      <c r="I1" s="2"/>
    </row>
    <row r="2" ht="32.25" customHeight="1">
      <c r="A2" t="s" s="4">
        <v>1</v>
      </c>
      <c r="B2" t="s" s="4">
        <v>40</v>
      </c>
      <c r="C2" t="s" s="4">
        <v>14</v>
      </c>
      <c r="D2" t="s" s="4">
        <v>18</v>
      </c>
      <c r="E2" t="s" s="4">
        <v>41</v>
      </c>
      <c r="F2" t="s" s="4">
        <v>4</v>
      </c>
      <c r="G2" t="s" s="4">
        <v>6</v>
      </c>
      <c r="H2" t="s" s="4">
        <v>42</v>
      </c>
      <c r="I2" t="s" s="4">
        <v>42</v>
      </c>
    </row>
    <row r="3" ht="20.25" customHeight="1">
      <c r="A3" s="23">
        <v>2018</v>
      </c>
      <c r="B3" s="24">
        <v>100</v>
      </c>
      <c r="C3" s="25"/>
      <c r="D3" s="25">
        <v>1.75</v>
      </c>
      <c r="E3" s="25">
        <v>0.75</v>
      </c>
      <c r="F3" s="10"/>
      <c r="G3" s="10">
        <f>(E3+D3-B3)/B3</f>
        <v>-0.975</v>
      </c>
      <c r="H3" s="9"/>
      <c r="I3" s="10">
        <f>('Cashflow '!D4-B3)/B3</f>
        <v>-1.1375</v>
      </c>
    </row>
    <row r="4" ht="20.05" customHeight="1">
      <c r="A4" s="26"/>
      <c r="B4" s="27">
        <v>100</v>
      </c>
      <c r="C4" s="28"/>
      <c r="D4" s="28">
        <v>1.75</v>
      </c>
      <c r="E4" s="28">
        <v>0.75</v>
      </c>
      <c r="F4" s="13">
        <f>B4/B3-1</f>
        <v>0</v>
      </c>
      <c r="G4" s="13">
        <f>(E4+D4-B4)/B4</f>
        <v>-0.975</v>
      </c>
      <c r="H4" s="17"/>
      <c r="I4" s="13">
        <f>('Cashflow '!D5-B4)/B4</f>
        <v>-1.1375</v>
      </c>
    </row>
    <row r="5" ht="20.05" customHeight="1">
      <c r="A5" s="26"/>
      <c r="B5" s="27">
        <v>100</v>
      </c>
      <c r="C5" s="28"/>
      <c r="D5" s="28">
        <v>1.75</v>
      </c>
      <c r="E5" s="28">
        <v>0.75</v>
      </c>
      <c r="F5" s="13">
        <f>B5/B4-1</f>
        <v>0</v>
      </c>
      <c r="G5" s="13">
        <f>(E5+D5-B5)/B5</f>
        <v>-0.975</v>
      </c>
      <c r="H5" s="17"/>
      <c r="I5" s="13">
        <f>('Cashflow '!D6-B5)/B5</f>
        <v>-1.1375</v>
      </c>
    </row>
    <row r="6" ht="20.05" customHeight="1">
      <c r="A6" s="26"/>
      <c r="B6" s="27">
        <v>100</v>
      </c>
      <c r="C6" s="28"/>
      <c r="D6" s="28">
        <v>1.75</v>
      </c>
      <c r="E6" s="28">
        <v>0.75</v>
      </c>
      <c r="F6" s="13">
        <f>B6/B5-1</f>
        <v>0</v>
      </c>
      <c r="G6" s="13">
        <f>(E6+D6-B6)/B6</f>
        <v>-0.975</v>
      </c>
      <c r="H6" s="13">
        <f>AVERAGE(I3:I6)</f>
        <v>-1.1375</v>
      </c>
      <c r="I6" s="13">
        <f>('Cashflow '!D7-B6)/B6</f>
        <v>-1.1375</v>
      </c>
    </row>
    <row r="7" ht="20.05" customHeight="1">
      <c r="A7" s="29">
        <v>2019</v>
      </c>
      <c r="B7" s="27">
        <v>397</v>
      </c>
      <c r="C7" s="28"/>
      <c r="D7" s="28">
        <v>4</v>
      </c>
      <c r="E7" s="28">
        <v>2.5</v>
      </c>
      <c r="F7" s="13">
        <f>B7/B6-1</f>
        <v>2.97</v>
      </c>
      <c r="G7" s="13">
        <f>(E7+D7-B7)/B7</f>
        <v>-0.983627204030227</v>
      </c>
      <c r="H7" s="13">
        <f>AVERAGE(I4:I7)</f>
        <v>-1.08927109571788</v>
      </c>
      <c r="I7" s="13">
        <f>('Cashflow '!D8-B7)/B7</f>
        <v>-0.944584382871537</v>
      </c>
    </row>
    <row r="8" ht="20.05" customHeight="1">
      <c r="A8" s="26"/>
      <c r="B8" s="27">
        <v>361</v>
      </c>
      <c r="C8" s="28"/>
      <c r="D8" s="28">
        <v>2</v>
      </c>
      <c r="E8" s="28">
        <v>2.5</v>
      </c>
      <c r="F8" s="13">
        <f>B8/B7-1</f>
        <v>-0.0906801007556675</v>
      </c>
      <c r="G8" s="13">
        <f>(E8+D8-B8)/B8</f>
        <v>-0.9875346260387809</v>
      </c>
      <c r="H8" s="13">
        <f>AVERAGE(I5:I8)</f>
        <v>-1.09921742535777</v>
      </c>
      <c r="I8" s="13">
        <f>('Cashflow '!D9-B8)/B8</f>
        <v>-1.17728531855956</v>
      </c>
    </row>
    <row r="9" ht="20.05" customHeight="1">
      <c r="A9" s="26"/>
      <c r="B9" s="27">
        <v>645</v>
      </c>
      <c r="C9" s="28"/>
      <c r="D9" s="28">
        <v>5</v>
      </c>
      <c r="E9" s="28">
        <v>2.5</v>
      </c>
      <c r="F9" s="13">
        <f>B9/B8-1</f>
        <v>0.7867036011080329</v>
      </c>
      <c r="G9" s="13">
        <f>(E9+D9-B9)/B9</f>
        <v>-0.988372093023256</v>
      </c>
      <c r="H9" s="13">
        <f>AVERAGE(I6:I9)</f>
        <v>-0.877633123032193</v>
      </c>
      <c r="I9" s="13">
        <f>('Cashflow '!D10-B9)/B9</f>
        <v>-0.251162790697674</v>
      </c>
    </row>
    <row r="10" ht="20.05" customHeight="1">
      <c r="A10" s="26"/>
      <c r="B10" s="27">
        <v>754</v>
      </c>
      <c r="C10" s="28"/>
      <c r="D10" s="28">
        <v>27</v>
      </c>
      <c r="E10" s="28">
        <v>2.5</v>
      </c>
      <c r="F10" s="13">
        <f>B10/B9-1</f>
        <v>0.168992248062016</v>
      </c>
      <c r="G10" s="13">
        <f>(E10+D10-B10)/B10</f>
        <v>-0.9608753315649869</v>
      </c>
      <c r="H10" s="13">
        <f>AVERAGE(I7:I10)</f>
        <v>-0.642661306056066</v>
      </c>
      <c r="I10" s="13">
        <f>('Cashflow '!D11-B10)/B10</f>
        <v>-0.197612732095491</v>
      </c>
    </row>
    <row r="11" ht="20.05" customHeight="1">
      <c r="A11" s="29">
        <v>2020</v>
      </c>
      <c r="B11" s="27">
        <v>611</v>
      </c>
      <c r="C11" s="28"/>
      <c r="D11" s="28">
        <v>10</v>
      </c>
      <c r="E11" s="28">
        <v>2.55</v>
      </c>
      <c r="F11" s="13">
        <f>B11/B10-1</f>
        <v>-0.189655172413793</v>
      </c>
      <c r="G11" s="13">
        <f>(E11+D11-B11)/B11</f>
        <v>-0.979459901800327</v>
      </c>
      <c r="H11" s="13">
        <f>AVERAGE(I8:I11)</f>
        <v>-0.512898189061586</v>
      </c>
      <c r="I11" s="13">
        <f>('Cashflow '!D12-B11)/B11</f>
        <v>-0.425531914893617</v>
      </c>
    </row>
    <row r="12" ht="20.05" customHeight="1">
      <c r="A12" s="26"/>
      <c r="B12" s="27">
        <v>315</v>
      </c>
      <c r="C12" s="28"/>
      <c r="D12" s="28">
        <v>-1</v>
      </c>
      <c r="E12" s="28">
        <v>2.55</v>
      </c>
      <c r="F12" s="13">
        <f>B12/B11-1</f>
        <v>-0.484451718494272</v>
      </c>
      <c r="G12" s="13">
        <f>(E12+D12-B12)/B12</f>
        <v>-0.995079365079365</v>
      </c>
      <c r="H12" s="13">
        <f>AVERAGE(I9:I12)</f>
        <v>-0.316989557834394</v>
      </c>
      <c r="I12" s="13">
        <f>('Cashflow '!D13-B12)/B12</f>
        <v>-0.393650793650794</v>
      </c>
    </row>
    <row r="13" ht="20.05" customHeight="1">
      <c r="A13" s="26"/>
      <c r="B13" s="27">
        <v>598</v>
      </c>
      <c r="C13" s="28"/>
      <c r="D13" s="28">
        <v>10</v>
      </c>
      <c r="E13" s="28">
        <v>2.55</v>
      </c>
      <c r="F13" s="13">
        <f>B13/B12-1</f>
        <v>0.898412698412698</v>
      </c>
      <c r="G13" s="13">
        <f>(E13+D13-B13)/B13</f>
        <v>-0.979013377926421</v>
      </c>
      <c r="H13" s="13">
        <f>AVERAGE(I10:I13)</f>
        <v>-0.327777455477701</v>
      </c>
      <c r="I13" s="13">
        <f>('Cashflow '!D14-B13)/B13</f>
        <v>-0.294314381270903</v>
      </c>
    </row>
    <row r="14" ht="20.05" customHeight="1">
      <c r="A14" s="26"/>
      <c r="B14" s="27">
        <v>411</v>
      </c>
      <c r="C14" s="28"/>
      <c r="D14" s="28">
        <v>11</v>
      </c>
      <c r="E14" s="28">
        <v>2.55</v>
      </c>
      <c r="F14" s="13">
        <f>B14/B13-1</f>
        <v>-0.312709030100334</v>
      </c>
      <c r="G14" s="13">
        <f>(E14+D14-B14)/B14</f>
        <v>-0.967031630170316</v>
      </c>
      <c r="H14" s="13">
        <f>AVERAGE(I11:I14)</f>
        <v>-0.562437532794461</v>
      </c>
      <c r="I14" s="13">
        <f>('Cashflow '!D15-B14)/B14</f>
        <v>-1.13625304136253</v>
      </c>
    </row>
    <row r="15" ht="20.05" customHeight="1">
      <c r="A15" s="29">
        <v>2021</v>
      </c>
      <c r="B15" s="27">
        <v>325</v>
      </c>
      <c r="C15" s="28"/>
      <c r="D15" s="28">
        <v>8</v>
      </c>
      <c r="E15" s="28">
        <v>3.6</v>
      </c>
      <c r="F15" s="13">
        <f>B15/B14-1</f>
        <v>-0.209245742092457</v>
      </c>
      <c r="G15" s="13">
        <f>(E15+D15-B15)/B15</f>
        <v>-0.964307692307692</v>
      </c>
      <c r="H15" s="13">
        <f>AVERAGE(I12:I15)</f>
        <v>-0.526823784840288</v>
      </c>
      <c r="I15" s="13">
        <f>('Cashflow '!D16-B15)/B15</f>
        <v>-0.283076923076923</v>
      </c>
    </row>
    <row r="16" ht="20.05" customHeight="1">
      <c r="A16" s="26"/>
      <c r="B16" s="27">
        <f>650-B15</f>
        <v>325</v>
      </c>
      <c r="C16" s="15">
        <v>347.75</v>
      </c>
      <c r="D16" s="28">
        <f>9.7-D15</f>
        <v>1.7</v>
      </c>
      <c r="E16" s="28">
        <v>3.6</v>
      </c>
      <c r="F16" s="13">
        <f>B16/B15-1</f>
        <v>0</v>
      </c>
      <c r="G16" s="13">
        <f>(E16+D16-B16)/B16</f>
        <v>-0.983692307692308</v>
      </c>
      <c r="H16" s="13">
        <f>AVERAGE(I13:I16)</f>
        <v>-0.545564932581435</v>
      </c>
      <c r="I16" s="13">
        <f>('Cashflow '!D17-B16)/B16</f>
        <v>-0.468615384615385</v>
      </c>
    </row>
    <row r="17" ht="20.05" customHeight="1">
      <c r="A17" s="26"/>
      <c r="B17" s="27">
        <f>1118.1-SUM(B15:B16)</f>
        <v>468.1</v>
      </c>
      <c r="C17" s="15">
        <v>444.88</v>
      </c>
      <c r="D17" s="28">
        <f>23.2-D16</f>
        <v>21.5</v>
      </c>
      <c r="E17" s="28">
        <f>11.9-SUM(E15:E16)</f>
        <v>4.7</v>
      </c>
      <c r="F17" s="13">
        <f>B17/B16-1</f>
        <v>0.440307692307692</v>
      </c>
      <c r="G17" s="13">
        <f>(E17+D17-B17)/B17</f>
        <v>-0.944029053621021</v>
      </c>
      <c r="H17" s="13">
        <f>AVERAGE(I14:I17)</f>
        <v>-0.608068371017181</v>
      </c>
      <c r="I17" s="13">
        <f>('Cashflow '!D18-B17)/B17</f>
        <v>-0.544328135013886</v>
      </c>
    </row>
    <row r="18" ht="20.05" customHeight="1">
      <c r="A18" s="26"/>
      <c r="B18" s="27"/>
      <c r="C18" s="15">
        <f>'Model'!B5</f>
        <v>547.677</v>
      </c>
      <c r="D18" s="28"/>
      <c r="E18" s="28"/>
      <c r="F18" s="17"/>
      <c r="G18" s="13">
        <f>'Model'!B6</f>
        <v>-0.944029053621021</v>
      </c>
      <c r="H18" s="17"/>
      <c r="I18" s="17"/>
    </row>
    <row r="19" ht="20.05" customHeight="1">
      <c r="A19" s="29">
        <v>2022</v>
      </c>
      <c r="B19" s="27"/>
      <c r="C19" s="15">
        <f>'Model'!C5</f>
        <v>509.33961</v>
      </c>
      <c r="D19" s="28"/>
      <c r="E19" s="28"/>
      <c r="F19" s="17"/>
      <c r="G19" s="17"/>
      <c r="H19" s="17"/>
      <c r="I19" s="17"/>
    </row>
    <row r="20" ht="20.05" customHeight="1">
      <c r="A20" s="26"/>
      <c r="B20" s="27"/>
      <c r="C20" s="15">
        <f>'Model'!D5</f>
        <v>473.6858373</v>
      </c>
      <c r="D20" s="28"/>
      <c r="E20" s="28"/>
      <c r="F20" s="17"/>
      <c r="G20" s="17"/>
      <c r="H20" s="17"/>
      <c r="I20" s="17"/>
    </row>
    <row r="21" ht="20.05" customHeight="1">
      <c r="A21" s="26"/>
      <c r="B21" s="27"/>
      <c r="C21" s="15">
        <f>'Model'!E5</f>
        <v>615.79158849</v>
      </c>
      <c r="D21" s="28"/>
      <c r="E21" s="28"/>
      <c r="F21" s="17"/>
      <c r="G21" s="17"/>
      <c r="H21" s="17"/>
      <c r="I21" s="17"/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J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4219" style="30" customWidth="1"/>
    <col min="2" max="2" width="8.82812" style="30" customWidth="1"/>
    <col min="3" max="10" width="10.6953" style="30" customWidth="1"/>
    <col min="11" max="16384" width="16.3516" style="30" customWidth="1"/>
  </cols>
  <sheetData>
    <row r="1" ht="41.6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43</v>
      </c>
      <c r="D3" t="s" s="4">
        <v>44</v>
      </c>
      <c r="E3" t="s" s="4">
        <v>9</v>
      </c>
      <c r="F3" t="s" s="4">
        <v>10</v>
      </c>
      <c r="G3" t="s" s="4">
        <v>45</v>
      </c>
      <c r="H3" t="s" s="4">
        <v>46</v>
      </c>
      <c r="I3" t="s" s="4">
        <v>47</v>
      </c>
      <c r="J3" t="s" s="4">
        <v>27</v>
      </c>
    </row>
    <row r="4" ht="20.25" customHeight="1">
      <c r="B4" s="23">
        <v>2018</v>
      </c>
      <c r="C4" s="31">
        <v>77.5</v>
      </c>
      <c r="D4" s="32">
        <v>-13.75</v>
      </c>
      <c r="E4" s="32">
        <v>-4.5</v>
      </c>
      <c r="F4" s="32">
        <v>19.5</v>
      </c>
      <c r="G4" s="32"/>
      <c r="H4" s="32">
        <f>D4+E4</f>
        <v>-18.25</v>
      </c>
      <c r="I4" s="32"/>
      <c r="J4" s="32">
        <f>-F4</f>
        <v>-19.5</v>
      </c>
    </row>
    <row r="5" ht="20.05" customHeight="1">
      <c r="B5" s="26"/>
      <c r="C5" s="14">
        <v>77.5</v>
      </c>
      <c r="D5" s="15">
        <v>-13.75</v>
      </c>
      <c r="E5" s="15">
        <v>-4.5</v>
      </c>
      <c r="F5" s="15">
        <v>19.5</v>
      </c>
      <c r="G5" s="15"/>
      <c r="H5" s="15">
        <f>D5+E5</f>
        <v>-18.25</v>
      </c>
      <c r="I5" s="15"/>
      <c r="J5" s="15">
        <f>-F5+J4</f>
        <v>-39</v>
      </c>
    </row>
    <row r="6" ht="20.05" customHeight="1">
      <c r="B6" s="26"/>
      <c r="C6" s="14">
        <v>77.5</v>
      </c>
      <c r="D6" s="15">
        <v>-13.75</v>
      </c>
      <c r="E6" s="15">
        <v>-4.5</v>
      </c>
      <c r="F6" s="15">
        <v>19.5</v>
      </c>
      <c r="G6" s="15"/>
      <c r="H6" s="15">
        <f>D6+E6</f>
        <v>-18.25</v>
      </c>
      <c r="I6" s="15"/>
      <c r="J6" s="15">
        <f>-F6+J5</f>
        <v>-58.5</v>
      </c>
    </row>
    <row r="7" ht="20.05" customHeight="1">
      <c r="B7" s="26"/>
      <c r="C7" s="14">
        <v>77.5</v>
      </c>
      <c r="D7" s="15">
        <v>-13.75</v>
      </c>
      <c r="E7" s="15">
        <v>-4.5</v>
      </c>
      <c r="F7" s="15">
        <v>19.5</v>
      </c>
      <c r="G7" s="15"/>
      <c r="H7" s="15">
        <f>D7+E7</f>
        <v>-18.25</v>
      </c>
      <c r="I7" s="15">
        <f>AVERAGE(H4:H7)</f>
        <v>-18.25</v>
      </c>
      <c r="J7" s="15">
        <f>-F7+J6</f>
        <v>-78</v>
      </c>
    </row>
    <row r="8" ht="20.05" customHeight="1">
      <c r="B8" s="29">
        <v>2019</v>
      </c>
      <c r="C8" s="14">
        <v>292</v>
      </c>
      <c r="D8" s="15">
        <v>22</v>
      </c>
      <c r="E8" s="15">
        <v>-3</v>
      </c>
      <c r="F8" s="15">
        <v>-26</v>
      </c>
      <c r="G8" s="15"/>
      <c r="H8" s="15">
        <f>D8+E8</f>
        <v>19</v>
      </c>
      <c r="I8" s="15">
        <f>AVERAGE(H5:H8)</f>
        <v>-8.9375</v>
      </c>
      <c r="J8" s="15">
        <f>-F8+J7</f>
        <v>-52</v>
      </c>
    </row>
    <row r="9" ht="20.05" customHeight="1">
      <c r="B9" s="26"/>
      <c r="C9" s="14">
        <v>373</v>
      </c>
      <c r="D9" s="15">
        <v>-64</v>
      </c>
      <c r="E9" s="15">
        <v>-4</v>
      </c>
      <c r="F9" s="15">
        <v>136</v>
      </c>
      <c r="G9" s="15"/>
      <c r="H9" s="15">
        <f>D9+E9</f>
        <v>-68</v>
      </c>
      <c r="I9" s="15">
        <f>AVERAGE(H6:H9)</f>
        <v>-21.375</v>
      </c>
      <c r="J9" s="15">
        <f>-F9+J8</f>
        <v>-188</v>
      </c>
    </row>
    <row r="10" ht="20.05" customHeight="1">
      <c r="B10" s="26"/>
      <c r="C10" s="14">
        <v>501</v>
      </c>
      <c r="D10" s="15">
        <v>483</v>
      </c>
      <c r="E10" s="15">
        <v>6.6</v>
      </c>
      <c r="F10" s="15">
        <v>-544</v>
      </c>
      <c r="G10" s="15"/>
      <c r="H10" s="15">
        <f>D10+E10</f>
        <v>489.6</v>
      </c>
      <c r="I10" s="15">
        <f>AVERAGE(H7:H10)</f>
        <v>105.5875</v>
      </c>
      <c r="J10" s="15">
        <f>-F10+J9</f>
        <v>356</v>
      </c>
    </row>
    <row r="11" ht="20.05" customHeight="1">
      <c r="B11" s="26"/>
      <c r="C11" s="14">
        <v>940</v>
      </c>
      <c r="D11" s="15">
        <v>605</v>
      </c>
      <c r="E11" s="15">
        <v>-0.1</v>
      </c>
      <c r="F11" s="15">
        <v>-581</v>
      </c>
      <c r="G11" s="15"/>
      <c r="H11" s="15">
        <f>D11+E11</f>
        <v>604.9</v>
      </c>
      <c r="I11" s="15">
        <f>AVERAGE(H8:H11)</f>
        <v>261.375</v>
      </c>
      <c r="J11" s="15">
        <f>-F11+J10</f>
        <v>937</v>
      </c>
    </row>
    <row r="12" ht="20.05" customHeight="1">
      <c r="B12" s="29">
        <v>2020</v>
      </c>
      <c r="C12" s="14">
        <v>658</v>
      </c>
      <c r="D12" s="15">
        <v>351</v>
      </c>
      <c r="E12" s="15">
        <v>-4</v>
      </c>
      <c r="F12" s="15">
        <v>-339</v>
      </c>
      <c r="G12" s="15"/>
      <c r="H12" s="15">
        <f>D12+E12</f>
        <v>347</v>
      </c>
      <c r="I12" s="15">
        <f>AVERAGE(H9:H12)</f>
        <v>343.375</v>
      </c>
      <c r="J12" s="15">
        <f>-F12+J11</f>
        <v>1276</v>
      </c>
    </row>
    <row r="13" ht="20.05" customHeight="1">
      <c r="B13" s="26"/>
      <c r="C13" s="14">
        <v>424</v>
      </c>
      <c r="D13" s="15">
        <v>191</v>
      </c>
      <c r="E13" s="15">
        <v>-2</v>
      </c>
      <c r="F13" s="15">
        <v>-172</v>
      </c>
      <c r="G13" s="15"/>
      <c r="H13" s="15">
        <f>D13+E13</f>
        <v>189</v>
      </c>
      <c r="I13" s="15">
        <f>AVERAGE(H10:H13)</f>
        <v>407.625</v>
      </c>
      <c r="J13" s="15">
        <f>-F13+J12</f>
        <v>1448</v>
      </c>
    </row>
    <row r="14" ht="20.05" customHeight="1">
      <c r="B14" s="26"/>
      <c r="C14" s="14">
        <v>563</v>
      </c>
      <c r="D14" s="15">
        <v>422</v>
      </c>
      <c r="E14" s="15">
        <v>5.6</v>
      </c>
      <c r="F14" s="15">
        <v>-443</v>
      </c>
      <c r="G14" s="15"/>
      <c r="H14" s="15">
        <f>D14+E14</f>
        <v>427.6</v>
      </c>
      <c r="I14" s="15">
        <f>AVERAGE(H11:H14)</f>
        <v>392.125</v>
      </c>
      <c r="J14" s="15">
        <f>-F14+J13</f>
        <v>1891</v>
      </c>
    </row>
    <row r="15" ht="20.05" customHeight="1">
      <c r="B15" s="26"/>
      <c r="C15" s="14">
        <v>446</v>
      </c>
      <c r="D15" s="15">
        <v>-56</v>
      </c>
      <c r="E15" s="15">
        <v>-0.6</v>
      </c>
      <c r="F15" s="15">
        <v>60</v>
      </c>
      <c r="G15" s="15"/>
      <c r="H15" s="15">
        <f>D15+E15</f>
        <v>-56.6</v>
      </c>
      <c r="I15" s="15">
        <f>AVERAGE(H12:H15)</f>
        <v>226.75</v>
      </c>
      <c r="J15" s="15">
        <f>-F15+J14</f>
        <v>1831</v>
      </c>
    </row>
    <row r="16" ht="20.05" customHeight="1">
      <c r="B16" s="29">
        <v>2021</v>
      </c>
      <c r="C16" s="14">
        <v>383</v>
      </c>
      <c r="D16" s="15">
        <v>233</v>
      </c>
      <c r="E16" s="15">
        <v>-3</v>
      </c>
      <c r="F16" s="15">
        <v>-210</v>
      </c>
      <c r="G16" s="15"/>
      <c r="H16" s="15">
        <f>D16+E16</f>
        <v>230</v>
      </c>
      <c r="I16" s="15">
        <f>AVERAGE(H13:H16)</f>
        <v>197.5</v>
      </c>
      <c r="J16" s="15">
        <f>-F16+J15</f>
        <v>2041</v>
      </c>
    </row>
    <row r="17" ht="20.05" customHeight="1">
      <c r="B17" s="26"/>
      <c r="C17" s="14">
        <f>715-C16</f>
        <v>332</v>
      </c>
      <c r="D17" s="15">
        <f>405.7-D16</f>
        <v>172.7</v>
      </c>
      <c r="E17" s="15">
        <f>-7.5-E16</f>
        <v>-4.5</v>
      </c>
      <c r="F17" s="15">
        <v>-210</v>
      </c>
      <c r="G17" s="15">
        <v>-9</v>
      </c>
      <c r="H17" s="15">
        <f>D17+E17</f>
        <v>168.2</v>
      </c>
      <c r="I17" s="15">
        <f>AVERAGE(H14:H17)</f>
        <v>192.3</v>
      </c>
      <c r="J17" s="15">
        <f>-(F17+G17)+J16</f>
        <v>2260</v>
      </c>
    </row>
    <row r="18" ht="20.05" customHeight="1">
      <c r="B18" s="26"/>
      <c r="C18" s="14">
        <f>1098-SUM(C16:C17)</f>
        <v>383</v>
      </c>
      <c r="D18" s="15">
        <f>619-SUM(D16:D17)</f>
        <v>213.3</v>
      </c>
      <c r="E18" s="15">
        <f>-31.5-SUM(E16:E17)</f>
        <v>-24</v>
      </c>
      <c r="F18" s="15">
        <f>-597.9+9-SUM(F16:F17)</f>
        <v>-168.9</v>
      </c>
      <c r="G18" s="15">
        <f>-9-SUM(G16:G17)</f>
        <v>0</v>
      </c>
      <c r="H18" s="15">
        <f>D18+E18</f>
        <v>189.3</v>
      </c>
      <c r="I18" s="15">
        <f>AVERAGE(H15:H18)</f>
        <v>132.725</v>
      </c>
      <c r="J18" s="15">
        <f>-(F18+G18)+J17</f>
        <v>2428.9</v>
      </c>
    </row>
    <row r="19" ht="20.05" customHeight="1">
      <c r="B19" s="26"/>
      <c r="C19" s="14"/>
      <c r="D19" s="15"/>
      <c r="E19" s="15"/>
      <c r="F19" s="15"/>
      <c r="G19" s="15"/>
      <c r="H19" s="15"/>
      <c r="I19" s="15">
        <f>SUM('Model'!E8:E9)</f>
        <v>23.96643798</v>
      </c>
      <c r="J19" s="15">
        <f>'Model'!E31</f>
        <v>2507.04130258</v>
      </c>
    </row>
  </sheetData>
  <mergeCells count="1">
    <mergeCell ref="B2:J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57031" style="33" customWidth="1"/>
    <col min="2" max="11" width="9.23438" style="33" customWidth="1"/>
    <col min="12" max="16384" width="16.3516" style="33" customWidth="1"/>
  </cols>
  <sheetData>
    <row r="1" ht="37.65" customHeight="1"/>
    <row r="2" ht="27.65" customHeight="1">
      <c r="B2" t="s" s="2">
        <v>48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49</v>
      </c>
      <c r="D3" t="s" s="4">
        <v>50</v>
      </c>
      <c r="E3" t="s" s="4">
        <v>21</v>
      </c>
      <c r="F3" t="s" s="4">
        <v>22</v>
      </c>
      <c r="G3" t="s" s="4">
        <v>10</v>
      </c>
      <c r="H3" t="s" s="4">
        <v>11</v>
      </c>
      <c r="I3" t="s" s="4">
        <v>24</v>
      </c>
      <c r="J3" t="s" s="4">
        <v>51</v>
      </c>
      <c r="K3" t="s" s="4">
        <v>32</v>
      </c>
    </row>
    <row r="4" ht="20.25" customHeight="1">
      <c r="B4" s="23">
        <v>2018</v>
      </c>
      <c r="C4" s="31"/>
      <c r="D4" s="32"/>
      <c r="E4" s="32">
        <f>D4-C4</f>
        <v>0</v>
      </c>
      <c r="F4" s="32"/>
      <c r="G4" s="32"/>
      <c r="H4" s="32"/>
      <c r="I4" s="32">
        <f>G4+H4-C4-E4</f>
        <v>0</v>
      </c>
      <c r="J4" s="32">
        <f>C4-G4</f>
        <v>0</v>
      </c>
      <c r="K4" s="32"/>
    </row>
    <row r="5" ht="20.05" customHeight="1">
      <c r="B5" s="26"/>
      <c r="C5" s="14"/>
      <c r="D5" s="15"/>
      <c r="E5" s="15">
        <f>D5-C5</f>
        <v>0</v>
      </c>
      <c r="F5" s="15"/>
      <c r="G5" s="15"/>
      <c r="H5" s="15"/>
      <c r="I5" s="15">
        <f>G5+H5-C5-E5</f>
        <v>0</v>
      </c>
      <c r="J5" s="15">
        <f>C5-G5</f>
        <v>0</v>
      </c>
      <c r="K5" s="15"/>
    </row>
    <row r="6" ht="20.05" customHeight="1">
      <c r="B6" s="26"/>
      <c r="C6" s="14"/>
      <c r="D6" s="15"/>
      <c r="E6" s="15">
        <f>D6-C6</f>
        <v>0</v>
      </c>
      <c r="F6" s="15"/>
      <c r="G6" s="15"/>
      <c r="H6" s="15"/>
      <c r="I6" s="15">
        <f>G6+H6-C6-E6</f>
        <v>0</v>
      </c>
      <c r="J6" s="15">
        <f>C6-G6</f>
        <v>0</v>
      </c>
      <c r="K6" s="15"/>
    </row>
    <row r="7" ht="20.05" customHeight="1">
      <c r="B7" s="26"/>
      <c r="C7" s="14">
        <v>20</v>
      </c>
      <c r="D7" s="15">
        <v>309</v>
      </c>
      <c r="E7" s="15">
        <f>D7-C7</f>
        <v>289</v>
      </c>
      <c r="F7" s="15"/>
      <c r="G7" s="15">
        <v>248</v>
      </c>
      <c r="H7" s="15">
        <v>61</v>
      </c>
      <c r="I7" s="15">
        <f>G7+H7-C7-E7</f>
        <v>0</v>
      </c>
      <c r="J7" s="15">
        <f>C7-G7</f>
        <v>-228</v>
      </c>
      <c r="K7" s="15"/>
    </row>
    <row r="8" ht="20.05" customHeight="1">
      <c r="B8" s="29">
        <v>2019</v>
      </c>
      <c r="C8" s="14"/>
      <c r="D8" s="15"/>
      <c r="E8" s="15">
        <f>D8-C8</f>
        <v>0</v>
      </c>
      <c r="F8" s="15"/>
      <c r="G8" s="15"/>
      <c r="H8" s="15"/>
      <c r="I8" s="15">
        <f>G8+H8-C8-E8</f>
        <v>0</v>
      </c>
      <c r="J8" s="15">
        <f>C8-G8</f>
        <v>0</v>
      </c>
      <c r="K8" s="15"/>
    </row>
    <row r="9" ht="20.05" customHeight="1">
      <c r="B9" s="26"/>
      <c r="C9" s="14"/>
      <c r="D9" s="15"/>
      <c r="E9" s="15">
        <f>D9-C9</f>
        <v>0</v>
      </c>
      <c r="F9" s="15"/>
      <c r="G9" s="15"/>
      <c r="H9" s="15"/>
      <c r="I9" s="15">
        <f>G9+H9-C9-E9</f>
        <v>0</v>
      </c>
      <c r="J9" s="15">
        <f>C9-G9</f>
        <v>0</v>
      </c>
      <c r="K9" s="15"/>
    </row>
    <row r="10" ht="20.05" customHeight="1">
      <c r="B10" s="26"/>
      <c r="C10" s="14"/>
      <c r="D10" s="15"/>
      <c r="E10" s="15">
        <f>D10-C10</f>
        <v>0</v>
      </c>
      <c r="F10" s="15"/>
      <c r="G10" s="15"/>
      <c r="H10" s="15"/>
      <c r="I10" s="15">
        <f>G10+H10-C10-E10</f>
        <v>0</v>
      </c>
      <c r="J10" s="15">
        <f>C10-G10</f>
        <v>0</v>
      </c>
      <c r="K10" s="15"/>
    </row>
    <row r="11" ht="20.05" customHeight="1">
      <c r="B11" s="26"/>
      <c r="C11" s="14">
        <v>50</v>
      </c>
      <c r="D11" s="15">
        <v>935</v>
      </c>
      <c r="E11" s="15">
        <f>D11-C11</f>
        <v>885</v>
      </c>
      <c r="F11" s="15"/>
      <c r="G11" s="15">
        <v>769</v>
      </c>
      <c r="H11" s="15">
        <v>166</v>
      </c>
      <c r="I11" s="15">
        <f>G11+H11-C11-E11</f>
        <v>0</v>
      </c>
      <c r="J11" s="15">
        <f>C11-G11</f>
        <v>-719</v>
      </c>
      <c r="K11" s="15"/>
    </row>
    <row r="12" ht="20.05" customHeight="1">
      <c r="B12" s="29">
        <v>2020</v>
      </c>
      <c r="C12" s="14">
        <v>59</v>
      </c>
      <c r="D12" s="15">
        <v>1039</v>
      </c>
      <c r="E12" s="15">
        <f>D12-C12</f>
        <v>980</v>
      </c>
      <c r="F12" s="15"/>
      <c r="G12" s="15">
        <v>863</v>
      </c>
      <c r="H12" s="15">
        <v>176</v>
      </c>
      <c r="I12" s="15">
        <f>G12+H12-C12-E12</f>
        <v>0</v>
      </c>
      <c r="J12" s="15">
        <f>C12-G12</f>
        <v>-804</v>
      </c>
      <c r="K12" s="15"/>
    </row>
    <row r="13" ht="20.05" customHeight="1">
      <c r="B13" s="26"/>
      <c r="C13" s="14">
        <v>76</v>
      </c>
      <c r="D13" s="15">
        <v>865</v>
      </c>
      <c r="E13" s="15">
        <f>D13-C13</f>
        <v>789</v>
      </c>
      <c r="F13" s="15"/>
      <c r="G13" s="15">
        <v>689</v>
      </c>
      <c r="H13" s="15">
        <v>175</v>
      </c>
      <c r="I13" s="15">
        <f>G13+H13-C13-E13</f>
        <v>-1</v>
      </c>
      <c r="J13" s="15">
        <f>C13-G13</f>
        <v>-613</v>
      </c>
      <c r="K13" s="15"/>
    </row>
    <row r="14" ht="20.05" customHeight="1">
      <c r="B14" s="26"/>
      <c r="C14" s="14">
        <v>60</v>
      </c>
      <c r="D14" s="15">
        <v>575</v>
      </c>
      <c r="E14" s="15">
        <f>D14-C14</f>
        <v>515</v>
      </c>
      <c r="F14" s="15"/>
      <c r="G14" s="15">
        <v>389</v>
      </c>
      <c r="H14" s="15">
        <v>186</v>
      </c>
      <c r="I14" s="15">
        <f>G14+H14-C14-E14</f>
        <v>0</v>
      </c>
      <c r="J14" s="15">
        <f>C14-G14</f>
        <v>-329</v>
      </c>
      <c r="K14" s="15"/>
    </row>
    <row r="15" ht="20.05" customHeight="1">
      <c r="B15" s="26"/>
      <c r="C15" s="14">
        <v>64</v>
      </c>
      <c r="D15" s="15">
        <v>471</v>
      </c>
      <c r="E15" s="15">
        <f>D15-C15</f>
        <v>407</v>
      </c>
      <c r="F15" s="15">
        <v>52.5</v>
      </c>
      <c r="G15" s="15">
        <v>272</v>
      </c>
      <c r="H15" s="15">
        <v>199</v>
      </c>
      <c r="I15" s="15">
        <f>G15+H15-C15-E15</f>
        <v>0</v>
      </c>
      <c r="J15" s="15">
        <f>C15-G15</f>
        <v>-208</v>
      </c>
      <c r="K15" s="15"/>
    </row>
    <row r="16" ht="20.05" customHeight="1">
      <c r="B16" s="29">
        <v>2021</v>
      </c>
      <c r="C16" s="14">
        <v>39</v>
      </c>
      <c r="D16" s="15">
        <v>470</v>
      </c>
      <c r="E16" s="15">
        <f>D16-C16</f>
        <v>431</v>
      </c>
      <c r="F16" s="15"/>
      <c r="G16" s="15">
        <v>264</v>
      </c>
      <c r="H16" s="15">
        <v>206</v>
      </c>
      <c r="I16" s="15">
        <f>G16+H16-C16-E16</f>
        <v>0</v>
      </c>
      <c r="J16" s="15">
        <f>C16-G16</f>
        <v>-225</v>
      </c>
      <c r="K16" s="15"/>
    </row>
    <row r="17" ht="20.05" customHeight="1">
      <c r="B17" s="26"/>
      <c r="C17" s="14">
        <v>33.3</v>
      </c>
      <c r="D17" s="15">
        <v>459.7</v>
      </c>
      <c r="E17" s="15">
        <f>D17-C17</f>
        <v>426.4</v>
      </c>
      <c r="F17" s="15">
        <v>60</v>
      </c>
      <c r="G17" s="15">
        <v>260.2</v>
      </c>
      <c r="H17" s="15">
        <v>199.5</v>
      </c>
      <c r="I17" s="15">
        <f>G17+H17-C17-E17</f>
        <v>0</v>
      </c>
      <c r="J17" s="15">
        <f>C17-G17</f>
        <v>-226.9</v>
      </c>
      <c r="K17" s="15"/>
    </row>
    <row r="18" ht="20.05" customHeight="1">
      <c r="B18" s="26"/>
      <c r="C18" s="14">
        <v>53</v>
      </c>
      <c r="D18" s="15">
        <v>510</v>
      </c>
      <c r="E18" s="15">
        <f>D18-C18</f>
        <v>457</v>
      </c>
      <c r="F18" s="15">
        <v>64</v>
      </c>
      <c r="G18" s="15">
        <v>297</v>
      </c>
      <c r="H18" s="15">
        <v>213</v>
      </c>
      <c r="I18" s="15">
        <f>G18+H18-C18-E18</f>
        <v>0</v>
      </c>
      <c r="J18" s="15">
        <f>C18-G18</f>
        <v>-244</v>
      </c>
      <c r="K18" s="15">
        <f>J18</f>
        <v>-244</v>
      </c>
    </row>
    <row r="19" ht="20.05" customHeight="1">
      <c r="B19" s="26"/>
      <c r="C19" s="14"/>
      <c r="D19" s="15"/>
      <c r="E19" s="15"/>
      <c r="F19" s="15"/>
      <c r="G19" s="15"/>
      <c r="H19" s="15"/>
      <c r="I19" s="15"/>
      <c r="J19" s="15"/>
      <c r="K19" s="15">
        <f>'Model'!E29</f>
        <v>-196.261088194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C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3" width="12.2734" style="34" customWidth="1"/>
    <col min="4" max="16384" width="16.3516" style="34" customWidth="1"/>
  </cols>
  <sheetData>
    <row r="1" ht="27.65" customHeight="1">
      <c r="A1" t="s" s="2">
        <v>52</v>
      </c>
      <c r="B1" s="2"/>
      <c r="C1" s="2"/>
    </row>
    <row r="2" ht="20.25" customHeight="1">
      <c r="A2" s="5"/>
      <c r="B2" t="s" s="4">
        <v>34</v>
      </c>
      <c r="C2" t="s" s="4">
        <v>35</v>
      </c>
    </row>
    <row r="3" ht="20.25" customHeight="1">
      <c r="A3" s="23">
        <v>2020</v>
      </c>
      <c r="B3" s="35"/>
      <c r="C3" s="9"/>
    </row>
    <row r="4" ht="20.05" customHeight="1">
      <c r="A4" s="26"/>
      <c r="B4" s="27">
        <v>255.411758</v>
      </c>
      <c r="C4" s="17"/>
    </row>
    <row r="5" ht="20.05" customHeight="1">
      <c r="A5" s="26"/>
      <c r="B5" s="27">
        <v>202.3647</v>
      </c>
      <c r="C5" s="17"/>
    </row>
    <row r="6" ht="20.05" customHeight="1">
      <c r="A6" s="26"/>
      <c r="B6" s="27">
        <v>196.470581</v>
      </c>
      <c r="C6" s="17"/>
    </row>
    <row r="7" ht="20.05" customHeight="1">
      <c r="A7" s="26"/>
      <c r="B7" s="27">
        <v>222.011765</v>
      </c>
      <c r="C7" s="17"/>
    </row>
    <row r="8" ht="20.05" customHeight="1">
      <c r="A8" s="26"/>
      <c r="B8" s="27">
        <v>324.176453</v>
      </c>
      <c r="C8" s="17"/>
    </row>
    <row r="9" ht="20.05" customHeight="1">
      <c r="A9" s="26"/>
      <c r="B9" s="27">
        <v>300.600006</v>
      </c>
      <c r="C9" s="17"/>
    </row>
    <row r="10" ht="20.05" customHeight="1">
      <c r="A10" s="26"/>
      <c r="B10" s="27">
        <v>312.388214</v>
      </c>
      <c r="C10" s="17"/>
    </row>
    <row r="11" ht="20.05" customHeight="1">
      <c r="A11" s="26"/>
      <c r="B11" s="27">
        <v>310.423523</v>
      </c>
      <c r="C11" s="17"/>
    </row>
    <row r="12" ht="20.05" customHeight="1">
      <c r="A12" s="26"/>
      <c r="B12" s="27">
        <v>308.458801</v>
      </c>
      <c r="C12" s="17"/>
    </row>
    <row r="13" ht="20.05" customHeight="1">
      <c r="A13" s="26"/>
      <c r="B13" s="27">
        <v>381.152924</v>
      </c>
      <c r="C13" s="17"/>
    </row>
    <row r="14" ht="20.05" customHeight="1">
      <c r="A14" s="26"/>
      <c r="B14" s="27">
        <v>363.470581</v>
      </c>
      <c r="C14" s="17"/>
    </row>
    <row r="15" ht="20.05" customHeight="1">
      <c r="A15" s="29">
        <v>2021</v>
      </c>
      <c r="B15" s="27">
        <v>371.329407</v>
      </c>
      <c r="C15" s="17"/>
    </row>
    <row r="16" ht="20.05" customHeight="1">
      <c r="A16" s="26"/>
      <c r="B16" s="27">
        <v>341.858826</v>
      </c>
      <c r="C16" s="17"/>
    </row>
    <row r="17" ht="20.05" customHeight="1">
      <c r="A17" s="26"/>
      <c r="B17" s="27">
        <v>337.929413</v>
      </c>
      <c r="C17" s="17"/>
    </row>
    <row r="18" ht="20.05" customHeight="1">
      <c r="A18" s="26"/>
      <c r="B18" s="27">
        <v>298.635284</v>
      </c>
      <c r="C18" s="17"/>
    </row>
    <row r="19" ht="20.05" customHeight="1">
      <c r="A19" s="26"/>
      <c r="B19" s="27">
        <v>328</v>
      </c>
      <c r="C19" s="17"/>
    </row>
    <row r="20" ht="20.05" customHeight="1">
      <c r="A20" s="26"/>
      <c r="B20" s="27">
        <v>320</v>
      </c>
      <c r="C20" s="17"/>
    </row>
    <row r="21" ht="20.05" customHeight="1">
      <c r="A21" s="26"/>
      <c r="B21" s="27">
        <v>320</v>
      </c>
      <c r="C21" s="17"/>
    </row>
    <row r="22" ht="20.05" customHeight="1">
      <c r="A22" s="26"/>
      <c r="B22" s="27">
        <v>296</v>
      </c>
      <c r="C22" s="17"/>
    </row>
    <row r="23" ht="20.05" customHeight="1">
      <c r="A23" s="26"/>
      <c r="B23" s="27">
        <v>268</v>
      </c>
      <c r="C23" s="17"/>
    </row>
    <row r="24" ht="20.05" customHeight="1">
      <c r="A24" s="26"/>
      <c r="B24" s="27">
        <v>278</v>
      </c>
      <c r="C24" s="17"/>
    </row>
    <row r="25" ht="20.05" customHeight="1">
      <c r="A25" s="26"/>
      <c r="B25" s="27">
        <v>276</v>
      </c>
      <c r="C25" s="19">
        <f>B25</f>
        <v>276</v>
      </c>
    </row>
    <row r="26" ht="20.05" customHeight="1">
      <c r="A26" s="26"/>
      <c r="B26" s="27"/>
      <c r="C26" s="19">
        <f>'Model'!E41</f>
        <v>625.13042064</v>
      </c>
    </row>
  </sheetData>
  <mergeCells count="1">
    <mergeCell ref="A1:C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