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<sst xmlns="http://schemas.openxmlformats.org/spreadsheetml/2006/main" uniqueCount="61">
  <si>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</si>
  <si>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</si>
  <si>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 xml:space="preserve"> 4Q 2021</t>
  </si>
  <si>
    <t>Cash Flow</t>
  </si>
  <si>
    <t>Growth</t>
  </si>
  <si>
    <t>Sales</t>
  </si>
  <si>
    <t xml:space="preserve">Cost ratio </t>
  </si>
  <si>
    <t xml:space="preserve">Cash costs 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</si>
  <si>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</si>
  <si>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</si>
  <si>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</si>
  <si>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</si>
  <si>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</si>
  <si>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</si>
  <si>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</si>
  <si>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</si>
  <si>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</si>
  <si>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</si>
  <si>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</si>
  <si>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Income statement </t>
  </si>
  <si>
    <t>Non cash costs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</si>
  <si>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</si>
  <si>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</si>
  <si>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</si>
  <si>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</si>
  <si>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</si>
  <si>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</si>
  <si>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</si>
  <si>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</si>
  <si>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</si>
  <si>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</si>
  <si>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</si>
  <si>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</si>
  <si>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</si>
  <si>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</si>
  <si>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</si>
  <si>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</si>
  <si>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</si>
  <si>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</si>
  <si>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</si>
  <si>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</si>
  <si>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</si>
  <si>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</si>
  <si>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 xml:space="preserve">Rpbn </t>
  </si>
  <si>
    <t>FX loss (gain)</t>
  </si>
  <si>
    <t xml:space="preserve">Net income </t>
  </si>
  <si>
    <t xml:space="preserve">Sales growth </t>
  </si>
  <si>
    <t>Cashflow costs</t>
  </si>
  <si>
    <t>Cash flow Quarterly</t>
  </si>
  <si>
    <t xml:space="preserve">Receipts </t>
  </si>
  <si>
    <t>Capex</t>
  </si>
  <si>
    <t xml:space="preserve">Investment </t>
  </si>
  <si>
    <t xml:space="preserve">Free cashflow </t>
  </si>
  <si>
    <t>Balance sheet</t>
  </si>
  <si>
    <t xml:space="preserve">  Cash</t>
  </si>
  <si>
    <t xml:space="preserve">Assets </t>
  </si>
  <si>
    <t>Other assets</t>
  </si>
  <si>
    <t xml:space="preserve">Total Asset </t>
  </si>
  <si>
    <t xml:space="preserve">Check </t>
  </si>
  <si>
    <t>Share price</t>
  </si>
  <si>
    <t>GJTL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</si>
</sst>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_);[Red]\(#,##0%\)"/>
    <numFmt numFmtId="60" formatCode="#,##0%"/>
    <numFmt numFmtId="61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horizontal="right" vertical="center" wrapText="1"/>
    </xf>
    <xf numFmtId="59" fontId="0" borderId="4" applyNumberFormat="1" applyFont="1" applyFill="0" applyBorder="1" applyAlignment="1" applyProtection="0">
      <alignment horizontal="right" vertical="center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horizontal="right" vertical="center" wrapText="1"/>
    </xf>
    <xf numFmtId="38" fontId="0" borderId="7" applyNumberFormat="1" applyFont="1" applyFill="0" applyBorder="1" applyAlignment="1" applyProtection="0">
      <alignment horizontal="right" vertical="center" wrapText="1"/>
    </xf>
    <xf numFmtId="60" fontId="0" borderId="6" applyNumberFormat="1" applyFont="1" applyFill="0" applyBorder="1" applyAlignment="1" applyProtection="0">
      <alignment horizontal="right" vertical="center" wrapText="1"/>
    </xf>
    <xf numFmtId="60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horizontal="right" vertical="center" wrapText="1"/>
    </xf>
    <xf numFmtId="3" fontId="0" borderId="7" applyNumberFormat="1" applyFont="1" applyFill="0" applyBorder="1" applyAlignment="1" applyProtection="0">
      <alignment horizontal="right" vertical="center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3" borderId="4" applyNumberFormat="1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762280</xdr:colOff>
      <xdr:row>1</xdr:row>
      <xdr:rowOff>308224</xdr:rowOff>
    </xdr:from>
    <xdr:to>
      <xdr:col>13</xdr:col>
      <xdr:colOff>895294</xdr:colOff>
      <xdr:row>47</xdr:row>
      <xdr:rowOff>31658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73980" y="559049"/>
          <a:ext cx="8845214" cy="115382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39062" style="1" customWidth="1"/>
    <col min="2" max="2" width="16.4375" style="1" customWidth="1"/>
    <col min="3" max="6" width="8.94531" style="1" customWidth="1"/>
    <col min="7" max="16384" width="16.3516" style="1" customWidth="1"/>
  </cols>
  <sheetData>
    <row r="1" ht="19.7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AVERAGE('Sales'!H27:H30)</f>
        <v>0.0232878933774207</v>
      </c>
      <c r="D4" s="9"/>
      <c r="E4" s="9"/>
      <c r="F4" s="9">
        <f>AVERAGE(C5:F5)</f>
        <v>0.04</v>
      </c>
    </row>
    <row r="5" ht="20.05" customHeight="1">
      <c r="B5" t="s" s="10">
        <v>4</v>
      </c>
      <c r="C5" s="11">
        <v>0.04</v>
      </c>
      <c r="D5" s="12">
        <v>0</v>
      </c>
      <c r="E5" s="12">
        <v>0.07000000000000001</v>
      </c>
      <c r="F5" s="12">
        <v>0.05</v>
      </c>
    </row>
    <row r="6" ht="20.05" customHeight="1">
      <c r="B6" t="s" s="10">
        <v>5</v>
      </c>
      <c r="C6" s="13">
        <f>'Sales'!C30*(1+C5)</f>
        <v>4096.144</v>
      </c>
      <c r="D6" s="14">
        <f>C6*(1+D5)</f>
        <v>4096.144</v>
      </c>
      <c r="E6" s="14">
        <f>D6*(1+E5)</f>
        <v>4382.87408</v>
      </c>
      <c r="F6" s="14">
        <f>E6*(1+F5)</f>
        <v>4602.017784</v>
      </c>
    </row>
    <row r="7" ht="20.05" customHeight="1">
      <c r="B7" t="s" s="10">
        <v>6</v>
      </c>
      <c r="C7" s="15">
        <f>AVERAGE('Sales'!I26:I30)</f>
        <v>-0.925041055756989</v>
      </c>
      <c r="D7" s="16">
        <f>C7</f>
        <v>-0.925041055756989</v>
      </c>
      <c r="E7" s="16">
        <f>D7</f>
        <v>-0.925041055756989</v>
      </c>
      <c r="F7" s="16">
        <f>E7</f>
        <v>-0.925041055756989</v>
      </c>
    </row>
    <row r="8" ht="20.05" customHeight="1">
      <c r="B8" t="s" s="10">
        <v>7</v>
      </c>
      <c r="C8" s="17">
        <f>C6*C7</f>
        <v>-3789.101370292660</v>
      </c>
      <c r="D8" s="18">
        <f>D6*D7</f>
        <v>-3789.101370292660</v>
      </c>
      <c r="E8" s="18">
        <f>E6*E7</f>
        <v>-4054.338466213140</v>
      </c>
      <c r="F8" s="18">
        <f>F6*F7</f>
        <v>-4257.0553895238</v>
      </c>
    </row>
    <row r="9" ht="20.05" customHeight="1">
      <c r="B9" t="s" s="10">
        <v>8</v>
      </c>
      <c r="C9" s="19">
        <f>C6+C8</f>
        <v>307.042629707340</v>
      </c>
      <c r="D9" s="20">
        <f>D6+D8</f>
        <v>307.042629707340</v>
      </c>
      <c r="E9" s="20">
        <f>E6+E8</f>
        <v>328.535613786860</v>
      </c>
      <c r="F9" s="20">
        <f>F6+F8</f>
        <v>344.9623944762</v>
      </c>
    </row>
    <row r="10" ht="20.05" customHeight="1">
      <c r="B10" t="s" s="10">
        <v>9</v>
      </c>
      <c r="C10" s="17">
        <f>AVERAGE('Cashflow'!E30)</f>
        <v>-62.5</v>
      </c>
      <c r="D10" s="18">
        <f>C10</f>
        <v>-62.5</v>
      </c>
      <c r="E10" s="18">
        <f>D10</f>
        <v>-62.5</v>
      </c>
      <c r="F10" s="18">
        <f>E10</f>
        <v>-62.5</v>
      </c>
    </row>
    <row r="11" ht="20.05" customHeight="1">
      <c r="B11" t="s" s="10">
        <v>10</v>
      </c>
      <c r="C11" s="17">
        <f>'Cashflow'!H30</f>
        <v>-6.2</v>
      </c>
      <c r="D11" s="18">
        <f>C11</f>
        <v>-6.2</v>
      </c>
      <c r="E11" s="18">
        <f>D11</f>
        <v>-6.2</v>
      </c>
      <c r="F11" s="18">
        <f>E11</f>
        <v>-6.2</v>
      </c>
    </row>
    <row r="12" ht="20.05" customHeight="1">
      <c r="B12" t="s" s="10">
        <v>11</v>
      </c>
      <c r="C12" s="17">
        <f>C13+C14+C16</f>
        <v>-238.342629707340</v>
      </c>
      <c r="D12" s="18">
        <f>D13+D14+D16</f>
        <v>-238.342629707340</v>
      </c>
      <c r="E12" s="18">
        <f>E13+E14+E16</f>
        <v>-259.835613786860</v>
      </c>
      <c r="F12" s="18">
        <f>F13+F14+F16</f>
        <v>-276.2623944762</v>
      </c>
    </row>
    <row r="13" ht="20.05" customHeight="1">
      <c r="B13" t="s" s="10">
        <v>12</v>
      </c>
      <c r="C13" s="17">
        <f>-('Balance Sheet '!G25)/20</f>
        <v>-613.45</v>
      </c>
      <c r="D13" s="18">
        <f>-C27/20</f>
        <v>-582.4675</v>
      </c>
      <c r="E13" s="18">
        <f>-D27/20</f>
        <v>-553.034125</v>
      </c>
      <c r="F13" s="18">
        <f>-E27/20</f>
        <v>-525.07241875</v>
      </c>
    </row>
    <row r="14" ht="20.05" customHeight="1">
      <c r="B14" t="s" s="10">
        <v>13</v>
      </c>
      <c r="C14" s="17">
        <f>IF(C22&gt;0,-C22*0.3,0)</f>
        <v>-38.532788912202</v>
      </c>
      <c r="D14" s="18">
        <f>IF(D22&gt;0,-D22*0.3,0)</f>
        <v>-38.532788912202</v>
      </c>
      <c r="E14" s="18">
        <f>IF(E22&gt;0,-E22*0.3,0)</f>
        <v>-44.980684136058</v>
      </c>
      <c r="F14" s="18">
        <f>IF(F22&gt;0,-F22*0.3,0)</f>
        <v>-49.908718342860</v>
      </c>
    </row>
    <row r="15" ht="20.05" customHeight="1">
      <c r="B15" t="s" s="10">
        <v>14</v>
      </c>
      <c r="C15" s="17">
        <f>C9+C10+C11+C13+C14</f>
        <v>-413.640159204862</v>
      </c>
      <c r="D15" s="18">
        <f>D9+D10+D11+D13+D14</f>
        <v>-382.657659204862</v>
      </c>
      <c r="E15" s="18">
        <f>E9+E10+E11+E13+E14</f>
        <v>-338.179195349198</v>
      </c>
      <c r="F15" s="18">
        <f>F9+F10+F11+F13+F14</f>
        <v>-298.718742616660</v>
      </c>
    </row>
    <row r="16" ht="20.05" customHeight="1">
      <c r="B16" t="s" s="10">
        <v>15</v>
      </c>
      <c r="C16" s="17">
        <f>-MIN(0,C15)</f>
        <v>413.640159204862</v>
      </c>
      <c r="D16" s="18">
        <f>-MIN(C28,D15)</f>
        <v>382.657659204862</v>
      </c>
      <c r="E16" s="18">
        <f>-MIN(D28,E15)</f>
        <v>338.179195349198</v>
      </c>
      <c r="F16" s="18">
        <f>-MIN(E28,F15)</f>
        <v>298.718742616660</v>
      </c>
    </row>
    <row r="17" ht="20.05" customHeight="1">
      <c r="B17" t="s" s="10">
        <v>16</v>
      </c>
      <c r="C17" s="17">
        <f>'Balance Sheet '!B25</f>
        <v>816</v>
      </c>
      <c r="D17" s="18">
        <f>C19</f>
        <v>816</v>
      </c>
      <c r="E17" s="18">
        <f>D19</f>
        <v>816</v>
      </c>
      <c r="F17" s="18">
        <f>E19</f>
        <v>816</v>
      </c>
    </row>
    <row r="18" ht="20.05" customHeight="1">
      <c r="B18" t="s" s="10">
        <v>17</v>
      </c>
      <c r="C18" s="17">
        <f>C9+C10+C11+C12</f>
        <v>0</v>
      </c>
      <c r="D18" s="18">
        <f>D9+D10+D11+D12</f>
        <v>0</v>
      </c>
      <c r="E18" s="18">
        <f>E9+E10+E11+E12</f>
        <v>0</v>
      </c>
      <c r="F18" s="18">
        <f>F9+F10+F11+F12</f>
        <v>0</v>
      </c>
    </row>
    <row r="19" ht="20.05" customHeight="1">
      <c r="B19" t="s" s="10">
        <v>18</v>
      </c>
      <c r="C19" s="17">
        <f>C17+C18</f>
        <v>816</v>
      </c>
      <c r="D19" s="18">
        <f>D17+D18</f>
        <v>816</v>
      </c>
      <c r="E19" s="18">
        <f>E17+E18</f>
        <v>816</v>
      </c>
      <c r="F19" s="18">
        <f>F17+F18</f>
        <v>816</v>
      </c>
    </row>
    <row r="20" ht="20.05" customHeight="1">
      <c r="B20" t="s" s="21">
        <v>19</v>
      </c>
      <c r="C20" s="22"/>
      <c r="D20" s="23"/>
      <c r="E20" s="23"/>
      <c r="F20" s="24"/>
    </row>
    <row r="21" ht="20.05" customHeight="1">
      <c r="B21" t="s" s="10">
        <v>20</v>
      </c>
      <c r="C21" s="17">
        <f>-AVERAGE('Sales'!E30)</f>
        <v>-178.6</v>
      </c>
      <c r="D21" s="18">
        <f>C21</f>
        <v>-178.6</v>
      </c>
      <c r="E21" s="18">
        <f>D21</f>
        <v>-178.6</v>
      </c>
      <c r="F21" s="18">
        <f>E21</f>
        <v>-178.6</v>
      </c>
    </row>
    <row r="22" ht="20.05" customHeight="1">
      <c r="B22" t="s" s="10">
        <v>21</v>
      </c>
      <c r="C22" s="17">
        <f>C6+C8+C21</f>
        <v>128.442629707340</v>
      </c>
      <c r="D22" s="18">
        <f>D6+D8+D21</f>
        <v>128.442629707340</v>
      </c>
      <c r="E22" s="18">
        <f>E6+E8+E21</f>
        <v>149.935613786860</v>
      </c>
      <c r="F22" s="18">
        <f>F6+F8+F21</f>
        <v>166.3623944762</v>
      </c>
    </row>
    <row r="23" ht="20.05" customHeight="1">
      <c r="B23" t="s" s="21">
        <v>22</v>
      </c>
      <c r="C23" s="22"/>
      <c r="D23" s="23"/>
      <c r="E23" s="23"/>
      <c r="F23" s="24"/>
    </row>
    <row r="24" ht="20.05" customHeight="1">
      <c r="B24" t="s" s="10">
        <v>23</v>
      </c>
      <c r="C24" s="17">
        <f>'Balance Sheet '!D25+'Balance Sheet '!E25-C10</f>
        <v>30827.5</v>
      </c>
      <c r="D24" s="18">
        <f>C24-D10</f>
        <v>30890</v>
      </c>
      <c r="E24" s="18">
        <f>D24-E10</f>
        <v>30952.5</v>
      </c>
      <c r="F24" s="18">
        <f>E24-F10</f>
        <v>31015</v>
      </c>
    </row>
    <row r="25" ht="20.05" customHeight="1">
      <c r="B25" t="s" s="10">
        <v>24</v>
      </c>
      <c r="C25" s="17">
        <f>'Balance Sheet '!E25-C21</f>
        <v>12484.6</v>
      </c>
      <c r="D25" s="18">
        <f>C25-D21</f>
        <v>12663.2</v>
      </c>
      <c r="E25" s="18">
        <f>D25-E21</f>
        <v>12841.8</v>
      </c>
      <c r="F25" s="18">
        <f>E25-F21</f>
        <v>13020.4</v>
      </c>
    </row>
    <row r="26" ht="20.05" customHeight="1">
      <c r="B26" t="s" s="10">
        <v>25</v>
      </c>
      <c r="C26" s="17">
        <f>C24-C25</f>
        <v>18342.9</v>
      </c>
      <c r="D26" s="18">
        <f>D24-D25</f>
        <v>18226.8</v>
      </c>
      <c r="E26" s="18">
        <f>E24-E25</f>
        <v>18110.7</v>
      </c>
      <c r="F26" s="18">
        <f>F24-F25</f>
        <v>17994.6</v>
      </c>
    </row>
    <row r="27" ht="20.05" customHeight="1">
      <c r="B27" t="s" s="10">
        <v>12</v>
      </c>
      <c r="C27" s="17">
        <f>'Balance Sheet '!G25+C13+C11</f>
        <v>11649.35</v>
      </c>
      <c r="D27" s="18">
        <f>C27+D13+D11</f>
        <v>11060.6825</v>
      </c>
      <c r="E27" s="18">
        <f>D27+E13+E11</f>
        <v>10501.448375</v>
      </c>
      <c r="F27" s="18">
        <f>E27+F13+F11</f>
        <v>9970.175956249999</v>
      </c>
    </row>
    <row r="28" ht="20.05" customHeight="1">
      <c r="B28" t="s" s="10">
        <v>15</v>
      </c>
      <c r="C28" s="17">
        <f>C16</f>
        <v>413.640159204862</v>
      </c>
      <c r="D28" s="18">
        <f>C28+D16</f>
        <v>796.297818409724</v>
      </c>
      <c r="E28" s="18">
        <f>D28+E16</f>
        <v>1134.477013758920</v>
      </c>
      <c r="F28" s="18">
        <f>E28+F16</f>
        <v>1433.195756375580</v>
      </c>
    </row>
    <row r="29" ht="20.05" customHeight="1">
      <c r="B29" t="s" s="10">
        <v>13</v>
      </c>
      <c r="C29" s="17">
        <f>'Balance Sheet '!H25+C22+C14</f>
        <v>7095.909840795140</v>
      </c>
      <c r="D29" s="18">
        <f>C29+D22+D14</f>
        <v>7185.819681590280</v>
      </c>
      <c r="E29" s="18">
        <f>D29+E22+E14</f>
        <v>7290.774611241080</v>
      </c>
      <c r="F29" s="18">
        <f>E29+F22+F14</f>
        <v>7407.228287374420</v>
      </c>
    </row>
    <row r="30" ht="20.05" customHeight="1">
      <c r="B30" t="s" s="10">
        <v>26</v>
      </c>
      <c r="C30" s="19">
        <f>C27+C28+C29-C19-C26</f>
        <v>2e-12</v>
      </c>
      <c r="D30" s="20">
        <f>D27+D28+D29-D19-D26</f>
        <v>4e-12</v>
      </c>
      <c r="E30" s="20">
        <f>E27+E28+E29-E19-E26</f>
        <v>0</v>
      </c>
      <c r="F30" s="20">
        <f>F27+F28+F29-F19-F26</f>
        <v>0</v>
      </c>
    </row>
    <row r="31" ht="20.05" customHeight="1">
      <c r="B31" t="s" s="10">
        <v>27</v>
      </c>
      <c r="C31" s="19">
        <f>C19-C27-C28</f>
        <v>-11246.9901592049</v>
      </c>
      <c r="D31" s="20">
        <f>D19-D27-D28</f>
        <v>-11040.9803184097</v>
      </c>
      <c r="E31" s="20">
        <f>E19-E27-E28</f>
        <v>-10819.9253887589</v>
      </c>
      <c r="F31" s="20">
        <f>F19-F27-F28</f>
        <v>-10587.3717126256</v>
      </c>
    </row>
    <row r="32" ht="20.05" customHeight="1">
      <c r="B32" t="s" s="21">
        <v>28</v>
      </c>
      <c r="C32" s="19"/>
      <c r="D32" s="20"/>
      <c r="E32" s="20"/>
      <c r="F32" s="20"/>
    </row>
    <row r="33" ht="20.05" customHeight="1">
      <c r="B33" t="s" s="10">
        <v>29</v>
      </c>
      <c r="C33" s="19">
        <f>'Cashflow'!K30-(C12-C11)</f>
        <v>2380.542629707340</v>
      </c>
      <c r="D33" s="20">
        <f>C33-(D12-D11)</f>
        <v>2612.685259414680</v>
      </c>
      <c r="E33" s="20">
        <f>D33-(E12-E11)</f>
        <v>2866.320873201540</v>
      </c>
      <c r="F33" s="20">
        <f>E33-(F12-F11)</f>
        <v>3136.383267677740</v>
      </c>
    </row>
    <row r="34" ht="20.05" customHeight="1">
      <c r="B34" t="s" s="10">
        <v>30</v>
      </c>
      <c r="C34" s="19"/>
      <c r="D34" s="20"/>
      <c r="E34" s="20"/>
      <c r="F34" s="20">
        <v>2509</v>
      </c>
    </row>
    <row r="35" ht="20.05" customHeight="1">
      <c r="B35" t="s" s="10">
        <v>31</v>
      </c>
      <c r="C35" s="19"/>
      <c r="D35" s="20"/>
      <c r="E35" s="20"/>
      <c r="F35" s="25">
        <f>F34/(F19+F26)</f>
        <v>0.133382241927424</v>
      </c>
    </row>
    <row r="36" ht="20.05" customHeight="1">
      <c r="B36" t="s" s="10">
        <v>32</v>
      </c>
      <c r="C36" s="19"/>
      <c r="D36" s="20"/>
      <c r="E36" s="20"/>
      <c r="F36" s="26">
        <f>-(C14+D14+E14+F14)/F34</f>
        <v>0.0685352651667286</v>
      </c>
    </row>
    <row r="37" ht="20.05" customHeight="1">
      <c r="B37" t="s" s="10">
        <v>33</v>
      </c>
      <c r="C37" s="19"/>
      <c r="D37" s="20"/>
      <c r="E37" s="20"/>
      <c r="F37" s="20">
        <f>SUM(C9:F11)</f>
        <v>1012.783267677740</v>
      </c>
    </row>
    <row r="38" ht="20.05" customHeight="1">
      <c r="B38" t="s" s="10">
        <v>34</v>
      </c>
      <c r="C38" s="19"/>
      <c r="D38" s="20"/>
      <c r="E38" s="20"/>
      <c r="F38" s="20">
        <f>'Balance Sheet '!D25/F37</f>
        <v>18.2260120097813</v>
      </c>
    </row>
    <row r="39" ht="20.05" customHeight="1">
      <c r="B39" t="s" s="10">
        <v>28</v>
      </c>
      <c r="C39" s="19"/>
      <c r="D39" s="20"/>
      <c r="E39" s="20"/>
      <c r="F39" s="20">
        <f>F34/F37</f>
        <v>2.47733160694194</v>
      </c>
    </row>
    <row r="40" ht="20.05" customHeight="1">
      <c r="B40" t="s" s="10">
        <v>35</v>
      </c>
      <c r="C40" s="19"/>
      <c r="D40" s="20"/>
      <c r="E40" s="20"/>
      <c r="F40" s="20">
        <v>9</v>
      </c>
    </row>
    <row r="41" ht="20.05" customHeight="1">
      <c r="B41" t="s" s="10">
        <v>36</v>
      </c>
      <c r="C41" s="19"/>
      <c r="D41" s="20"/>
      <c r="E41" s="20"/>
      <c r="F41" s="20">
        <f>F37*F40</f>
        <v>9115.049409099660</v>
      </c>
    </row>
    <row r="42" ht="20.05" customHeight="1">
      <c r="B42" t="s" s="10">
        <v>37</v>
      </c>
      <c r="C42" s="19"/>
      <c r="D42" s="20"/>
      <c r="E42" s="20"/>
      <c r="F42" s="20">
        <f>F34/F44</f>
        <v>3.48472222222222</v>
      </c>
    </row>
    <row r="43" ht="20.05" customHeight="1">
      <c r="B43" t="s" s="10">
        <v>38</v>
      </c>
      <c r="C43" s="19"/>
      <c r="D43" s="20"/>
      <c r="E43" s="20"/>
      <c r="F43" s="20">
        <f>F41/F42</f>
        <v>2615.717646294050</v>
      </c>
    </row>
    <row r="44" ht="20.05" customHeight="1">
      <c r="B44" t="s" s="10">
        <v>39</v>
      </c>
      <c r="C44" s="19"/>
      <c r="D44" s="20"/>
      <c r="E44" s="20"/>
      <c r="F44" s="20">
        <f>'Share Price '!B97</f>
        <v>720</v>
      </c>
    </row>
    <row r="45" ht="20.05" customHeight="1">
      <c r="B45" t="s" s="10">
        <v>40</v>
      </c>
      <c r="C45" s="19"/>
      <c r="D45" s="20"/>
      <c r="E45" s="20"/>
      <c r="F45" s="26">
        <f>F43/F44</f>
        <v>3.6329411754084</v>
      </c>
    </row>
    <row r="46" ht="20.05" customHeight="1">
      <c r="B46" t="s" s="10">
        <v>41</v>
      </c>
      <c r="C46" s="19"/>
      <c r="D46" s="20"/>
      <c r="E46" s="20"/>
      <c r="F46" s="26">
        <f>'Sales'!C30/'Sales'!C26-1</f>
        <v>0.06766061263214961</v>
      </c>
    </row>
    <row r="47" ht="20.05" customHeight="1">
      <c r="B47" t="s" s="10">
        <v>42</v>
      </c>
      <c r="C47" s="19"/>
      <c r="D47" s="20"/>
      <c r="E47" s="20"/>
      <c r="F47" s="26">
        <f>('Sales'!D21+'Sales'!D22+'Sales'!D23+'Sales'!D24+'Sales'!D25+'Sales'!D26+'Sales'!D27+'Sales'!D28+'Sales'!D29+'Sales'!D30)/('Sales'!C21+'Sales'!C22+'Sales'!C23+'Sales'!C24+'Sales'!C25+'Sales'!C26+'Sales'!C27+'Sales'!C28+'Sales'!C29+'Sales'!C30)-1</f>
        <v>0.0445666519776764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3594" style="27" customWidth="1"/>
    <col min="2" max="2" width="9.39062" style="27" customWidth="1"/>
    <col min="3" max="11" width="10.5547" style="27" customWidth="1"/>
    <col min="12" max="16384" width="16.3516" style="27" customWidth="1"/>
  </cols>
  <sheetData>
    <row r="1" ht="33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43</v>
      </c>
      <c r="C3" t="s" s="4">
        <v>5</v>
      </c>
      <c r="D3" t="s" s="4">
        <v>35</v>
      </c>
      <c r="E3" t="s" s="4">
        <v>24</v>
      </c>
      <c r="F3" t="s" s="4">
        <v>44</v>
      </c>
      <c r="G3" t="s" s="4">
        <v>45</v>
      </c>
      <c r="H3" t="s" s="4">
        <v>46</v>
      </c>
      <c r="I3" t="s" s="4">
        <v>6</v>
      </c>
      <c r="J3" t="s" s="4">
        <v>47</v>
      </c>
      <c r="K3" t="s" s="4">
        <v>47</v>
      </c>
    </row>
    <row r="4" ht="20.25" customHeight="1">
      <c r="B4" s="28">
        <v>2015</v>
      </c>
      <c r="C4" s="29">
        <v>3075</v>
      </c>
      <c r="D4" s="30"/>
      <c r="E4" s="31">
        <v>0</v>
      </c>
      <c r="F4" s="31"/>
      <c r="G4" s="31">
        <v>-290</v>
      </c>
      <c r="H4" s="32"/>
      <c r="I4" s="33">
        <f>(E4+G4-C4)/C4</f>
        <v>-1.09430894308943</v>
      </c>
      <c r="J4" s="33"/>
      <c r="K4" s="33"/>
    </row>
    <row r="5" ht="20.05" customHeight="1">
      <c r="B5" s="34"/>
      <c r="C5" s="35">
        <v>3121</v>
      </c>
      <c r="D5" s="24"/>
      <c r="E5" s="20">
        <v>0</v>
      </c>
      <c r="F5" s="20"/>
      <c r="G5" s="20">
        <v>-61</v>
      </c>
      <c r="H5" s="26">
        <f>C5/C4-1</f>
        <v>0.0149593495934959</v>
      </c>
      <c r="I5" s="26">
        <f>(E5+G5-C5)/C5</f>
        <v>-1.01954501762256</v>
      </c>
      <c r="J5" s="26"/>
      <c r="K5" s="26"/>
    </row>
    <row r="6" ht="20.05" customHeight="1">
      <c r="B6" s="34"/>
      <c r="C6" s="35">
        <v>3347</v>
      </c>
      <c r="D6" s="24"/>
      <c r="E6" s="20">
        <v>0</v>
      </c>
      <c r="F6" s="20"/>
      <c r="G6" s="20">
        <v>-399</v>
      </c>
      <c r="H6" s="26">
        <f>C6/C5-1</f>
        <v>0.0724126882409484</v>
      </c>
      <c r="I6" s="26">
        <f>(E6+G6-C6)/C6</f>
        <v>-1.11921123394084</v>
      </c>
      <c r="J6" s="26"/>
      <c r="K6" s="26"/>
    </row>
    <row r="7" ht="20.05" customHeight="1">
      <c r="B7" s="34"/>
      <c r="C7" s="35">
        <v>3427</v>
      </c>
      <c r="D7" s="24"/>
      <c r="E7" s="20">
        <v>0</v>
      </c>
      <c r="F7" s="20"/>
      <c r="G7" s="20">
        <v>418</v>
      </c>
      <c r="H7" s="26">
        <f>C7/C6-1</f>
        <v>0.0239020017926501</v>
      </c>
      <c r="I7" s="26">
        <f>(E7+G7-C7)/C7</f>
        <v>-0.878027429238401</v>
      </c>
      <c r="J7" s="26"/>
      <c r="K7" s="26"/>
    </row>
    <row r="8" ht="20.05" customHeight="1">
      <c r="B8" s="36">
        <v>2016</v>
      </c>
      <c r="C8" s="35">
        <v>3439</v>
      </c>
      <c r="D8" s="24"/>
      <c r="E8" s="20">
        <v>712</v>
      </c>
      <c r="F8" s="20"/>
      <c r="G8" s="20">
        <v>338</v>
      </c>
      <c r="H8" s="26">
        <f>C8/C7-1</f>
        <v>0.00350160490224686</v>
      </c>
      <c r="I8" s="26">
        <f>(E8+G8-C8)/C8</f>
        <v>-0.694678685664437</v>
      </c>
      <c r="J8" s="26"/>
      <c r="K8" s="26">
        <f>('Cashflow'!D8-'Cashflow'!C8)/'Cashflow'!C8</f>
        <v>-0.9648323021817</v>
      </c>
    </row>
    <row r="9" ht="20.05" customHeight="1">
      <c r="B9" s="34"/>
      <c r="C9" s="35">
        <v>3510</v>
      </c>
      <c r="D9" s="24"/>
      <c r="E9" s="20">
        <v>-365</v>
      </c>
      <c r="F9" s="20"/>
      <c r="G9" s="20">
        <v>196</v>
      </c>
      <c r="H9" s="26">
        <f>C9/C8-1</f>
        <v>0.0206455364931666</v>
      </c>
      <c r="I9" s="26">
        <f>(E9+G9-C9)/C9</f>
        <v>-1.04814814814815</v>
      </c>
      <c r="J9" s="26"/>
      <c r="K9" s="26">
        <f>('Cashflow'!D9-'Cashflow'!C9)/'Cashflow'!C9</f>
        <v>-0.84352016231296</v>
      </c>
    </row>
    <row r="10" ht="20.05" customHeight="1">
      <c r="B10" s="34"/>
      <c r="C10" s="35">
        <v>3212</v>
      </c>
      <c r="D10" s="24"/>
      <c r="E10" s="20">
        <v>180</v>
      </c>
      <c r="F10" s="20"/>
      <c r="G10" s="20">
        <v>49</v>
      </c>
      <c r="H10" s="26">
        <f>C10/C9-1</f>
        <v>-0.08490028490028489</v>
      </c>
      <c r="I10" s="26">
        <f>(E10+G10-C10)/C10</f>
        <v>-0.9287048567870489</v>
      </c>
      <c r="J10" s="26"/>
      <c r="K10" s="26">
        <f>('Cashflow'!D10-'Cashflow'!C10)/'Cashflow'!C10</f>
        <v>-0.961223203026482</v>
      </c>
    </row>
    <row r="11" ht="20.05" customHeight="1">
      <c r="B11" s="34"/>
      <c r="C11" s="35">
        <v>3473</v>
      </c>
      <c r="D11" s="24"/>
      <c r="E11" s="20">
        <v>-356</v>
      </c>
      <c r="F11" s="20"/>
      <c r="G11" s="20">
        <v>43</v>
      </c>
      <c r="H11" s="26">
        <f>C11/C10-1</f>
        <v>0.0812577833125778</v>
      </c>
      <c r="I11" s="26">
        <f>(E11+G11-C11)/C11</f>
        <v>-1.09012381226605</v>
      </c>
      <c r="J11" s="26">
        <f>AVERAGE(K8:K11)</f>
        <v>-0.910175556034644</v>
      </c>
      <c r="K11" s="26">
        <f>('Cashflow'!D11-'Cashflow'!C11)/'Cashflow'!C11</f>
        <v>-0.871126556617434</v>
      </c>
    </row>
    <row r="12" ht="20.05" customHeight="1">
      <c r="B12" s="36">
        <v>2017</v>
      </c>
      <c r="C12" s="35">
        <v>3775</v>
      </c>
      <c r="D12" s="24"/>
      <c r="E12" s="20">
        <v>184</v>
      </c>
      <c r="F12" s="20"/>
      <c r="G12" s="20">
        <v>216</v>
      </c>
      <c r="H12" s="26">
        <f>C12/C11-1</f>
        <v>0.0869565217391304</v>
      </c>
      <c r="I12" s="26">
        <f>(E12+G12-C12)/C12</f>
        <v>-0.894039735099338</v>
      </c>
      <c r="J12" s="26">
        <f>AVERAGE(K9:K12)</f>
        <v>-0.938948255001717</v>
      </c>
      <c r="K12" s="26">
        <f>('Cashflow'!D12-'Cashflow'!C12)/'Cashflow'!C12</f>
        <v>-1.07992309804999</v>
      </c>
    </row>
    <row r="13" ht="20.05" customHeight="1">
      <c r="B13" s="34"/>
      <c r="C13" s="35">
        <v>3473</v>
      </c>
      <c r="D13" s="24"/>
      <c r="E13" s="20">
        <v>185</v>
      </c>
      <c r="F13" s="20"/>
      <c r="G13" s="20">
        <v>-257</v>
      </c>
      <c r="H13" s="26">
        <f>C13/C12-1</f>
        <v>-0.08</v>
      </c>
      <c r="I13" s="26">
        <f>(E13+G13-C13)/C13</f>
        <v>-1.02073135617622</v>
      </c>
      <c r="J13" s="26">
        <f>AVERAGE(K10:K13)</f>
        <v>-0.983532307525947</v>
      </c>
      <c r="K13" s="26">
        <f>('Cashflow'!D13-'Cashflow'!C13)/'Cashflow'!C13</f>
        <v>-1.02185637240988</v>
      </c>
    </row>
    <row r="14" ht="20.05" customHeight="1">
      <c r="B14" s="34"/>
      <c r="C14" s="35">
        <v>3558</v>
      </c>
      <c r="D14" s="24"/>
      <c r="E14" s="20">
        <v>187</v>
      </c>
      <c r="F14" s="20"/>
      <c r="G14" s="20">
        <v>-100</v>
      </c>
      <c r="H14" s="26">
        <f>C14/C13-1</f>
        <v>0.0244745177080334</v>
      </c>
      <c r="I14" s="26">
        <f>(E14+G14-C14)/C14</f>
        <v>-0.9755480607082631</v>
      </c>
      <c r="J14" s="26">
        <f>AVERAGE(K11:K14)</f>
        <v>-0.973175421200999</v>
      </c>
      <c r="K14" s="26">
        <f>('Cashflow'!D14-'Cashflow'!C14)/'Cashflow'!C14</f>
        <v>-0.919795657726692</v>
      </c>
    </row>
    <row r="15" ht="20.05" customHeight="1">
      <c r="B15" s="34"/>
      <c r="C15" s="35">
        <v>3341</v>
      </c>
      <c r="D15" s="24"/>
      <c r="E15" s="20">
        <v>120</v>
      </c>
      <c r="F15" s="20"/>
      <c r="G15" s="20">
        <v>186</v>
      </c>
      <c r="H15" s="26">
        <f>C15/C14-1</f>
        <v>-0.0609893198426082</v>
      </c>
      <c r="I15" s="26">
        <f>(E15+G15-C15)/C15</f>
        <v>-0.908410655492368</v>
      </c>
      <c r="J15" s="26">
        <f>AVERAGE(K12:K15)</f>
        <v>-0.960823188521461</v>
      </c>
      <c r="K15" s="26">
        <f>('Cashflow'!D15-'Cashflow'!C15)/'Cashflow'!C15</f>
        <v>-0.821717625899281</v>
      </c>
    </row>
    <row r="16" ht="20.05" customHeight="1">
      <c r="B16" s="36">
        <v>2018</v>
      </c>
      <c r="C16" s="35">
        <v>3861</v>
      </c>
      <c r="D16" s="24"/>
      <c r="E16" s="20">
        <v>169</v>
      </c>
      <c r="F16" s="20"/>
      <c r="G16" s="20">
        <v>52</v>
      </c>
      <c r="H16" s="26">
        <f>C16/C15-1</f>
        <v>0.155642023346304</v>
      </c>
      <c r="I16" s="26">
        <f>(E16+G16-C16)/C16</f>
        <v>-0.942760942760943</v>
      </c>
      <c r="J16" s="26">
        <f>AVERAGE(K13:K16)</f>
        <v>-0.877807209441884</v>
      </c>
      <c r="K16" s="26">
        <f>('Cashflow'!D16-'Cashflow'!C16)/'Cashflow'!C16</f>
        <v>-0.747859181731684</v>
      </c>
    </row>
    <row r="17" ht="20.05" customHeight="1">
      <c r="B17" s="34"/>
      <c r="C17" s="35">
        <v>3319</v>
      </c>
      <c r="D17" s="24"/>
      <c r="E17" s="20">
        <v>167</v>
      </c>
      <c r="F17" s="20"/>
      <c r="G17" s="20">
        <v>-146</v>
      </c>
      <c r="H17" s="26">
        <f>C17/C16-1</f>
        <v>-0.14037814037814</v>
      </c>
      <c r="I17" s="26">
        <f>(E17+G17-C17)/C17</f>
        <v>-0.993672793009943</v>
      </c>
      <c r="J17" s="26">
        <f>AVERAGE(K14:K17)</f>
        <v>-0.8678505828036009</v>
      </c>
      <c r="K17" s="26">
        <f>('Cashflow'!D17-'Cashflow'!C17)/'Cashflow'!C17</f>
        <v>-0.982029865856745</v>
      </c>
    </row>
    <row r="18" ht="20.05" customHeight="1">
      <c r="B18" s="34"/>
      <c r="C18" s="35">
        <v>4059</v>
      </c>
      <c r="D18" s="24"/>
      <c r="E18" s="20">
        <v>193</v>
      </c>
      <c r="F18" s="20"/>
      <c r="G18" s="20">
        <v>-135</v>
      </c>
      <c r="H18" s="26">
        <f>C18/C17-1</f>
        <v>0.222958722506779</v>
      </c>
      <c r="I18" s="26">
        <f>(E18+G18-C18)/C18</f>
        <v>-0.985710766198571</v>
      </c>
      <c r="J18" s="26">
        <f>AVERAGE(K15:K18)</f>
        <v>-0.927167651008075</v>
      </c>
      <c r="K18" s="26">
        <f>('Cashflow'!D18-'Cashflow'!C18)/'Cashflow'!C18</f>
        <v>-1.15706393054459</v>
      </c>
    </row>
    <row r="19" ht="20.05" customHeight="1">
      <c r="B19" s="34"/>
      <c r="C19" s="35">
        <v>4111</v>
      </c>
      <c r="D19" s="24"/>
      <c r="E19" s="20">
        <v>186</v>
      </c>
      <c r="F19" s="20"/>
      <c r="G19" s="20">
        <v>154</v>
      </c>
      <c r="H19" s="26">
        <f>C19/C18-1</f>
        <v>0.0128110372012811</v>
      </c>
      <c r="I19" s="26">
        <f>(E19+G19-C19)/C19</f>
        <v>-0.917295062028703</v>
      </c>
      <c r="J19" s="26">
        <f>AVERAGE(K16:K19)</f>
        <v>-0.97498968961996</v>
      </c>
      <c r="K19" s="26">
        <f>('Cashflow'!D19-'Cashflow'!C19)/'Cashflow'!C19</f>
        <v>-1.01300578034682</v>
      </c>
    </row>
    <row r="20" ht="20.05" customHeight="1">
      <c r="B20" s="36">
        <v>2019</v>
      </c>
      <c r="C20" s="35">
        <v>4038</v>
      </c>
      <c r="D20" s="24"/>
      <c r="E20" s="20">
        <v>175</v>
      </c>
      <c r="F20" s="20"/>
      <c r="G20" s="20">
        <v>169</v>
      </c>
      <c r="H20" s="26">
        <f>C20/C19-1</f>
        <v>-0.0177572366820725</v>
      </c>
      <c r="I20" s="26">
        <f>(E20+G20-C20)/C20</f>
        <v>-0.914809311540367</v>
      </c>
      <c r="J20" s="26">
        <f>AVERAGE(K17:K20)</f>
        <v>-1.04184886610279</v>
      </c>
      <c r="K20" s="26">
        <f>('Cashflow'!D20-'Cashflow'!C20)/'Cashflow'!C20</f>
        <v>-1.01529588766299</v>
      </c>
    </row>
    <row r="21" ht="20.05" customHeight="1">
      <c r="B21" s="34"/>
      <c r="C21" s="35">
        <v>3625</v>
      </c>
      <c r="D21" s="37">
        <v>3484.95</v>
      </c>
      <c r="E21" s="20">
        <v>172</v>
      </c>
      <c r="F21" s="20"/>
      <c r="G21" s="20">
        <v>-5</v>
      </c>
      <c r="H21" s="26">
        <f>C21/C20-1</f>
        <v>-0.102278355621595</v>
      </c>
      <c r="I21" s="26">
        <f>(E21+G21-C21)/C21</f>
        <v>-0.953931034482759</v>
      </c>
      <c r="J21" s="26">
        <f>AVERAGE(K18:K21)</f>
        <v>-1.02239267015805</v>
      </c>
      <c r="K21" s="26">
        <f>('Cashflow'!D21-'Cashflow'!C21)/'Cashflow'!C21</f>
        <v>-0.904205082077805</v>
      </c>
    </row>
    <row r="22" ht="20.05" customHeight="1">
      <c r="B22" s="34"/>
      <c r="C22" s="35">
        <v>4273</v>
      </c>
      <c r="D22" s="37">
        <v>4261.95</v>
      </c>
      <c r="E22" s="20">
        <v>176</v>
      </c>
      <c r="F22" s="20"/>
      <c r="G22" s="20">
        <v>-24</v>
      </c>
      <c r="H22" s="26">
        <f>C22/C21-1</f>
        <v>0.178758620689655</v>
      </c>
      <c r="I22" s="26">
        <f>(E22+G22-C22)/C22</f>
        <v>-0.964427802480693</v>
      </c>
      <c r="J22" s="26">
        <f>AVERAGE(K19:K22)</f>
        <v>-0.959747635152827</v>
      </c>
      <c r="K22" s="26">
        <f>('Cashflow'!D22-'Cashflow'!C22)/'Cashflow'!C22</f>
        <v>-0.906483790523691</v>
      </c>
    </row>
    <row r="23" ht="20.05" customHeight="1">
      <c r="B23" s="34"/>
      <c r="C23" s="35">
        <v>4003</v>
      </c>
      <c r="D23" s="37">
        <v>4522.1</v>
      </c>
      <c r="E23" s="20">
        <v>168</v>
      </c>
      <c r="F23" s="20"/>
      <c r="G23" s="20">
        <v>129</v>
      </c>
      <c r="H23" s="26">
        <f>C23/C22-1</f>
        <v>-0.0631874561198221</v>
      </c>
      <c r="I23" s="26">
        <f>(E23+G23-C23)/C23</f>
        <v>-0.925805645765676</v>
      </c>
      <c r="J23" s="26">
        <f>AVERAGE(K20:K23)</f>
        <v>-0.924121190066122</v>
      </c>
      <c r="K23" s="26">
        <f>('Cashflow'!D23-'Cashflow'!C23)/'Cashflow'!C23</f>
        <v>-0.8705000000000001</v>
      </c>
    </row>
    <row r="24" ht="20.05" customHeight="1">
      <c r="B24" s="36">
        <v>2020</v>
      </c>
      <c r="C24" s="35">
        <v>3797</v>
      </c>
      <c r="D24" s="37">
        <v>4441.8</v>
      </c>
      <c r="E24" s="20">
        <v>179.9</v>
      </c>
      <c r="F24" s="23">
        <v>758</v>
      </c>
      <c r="G24" s="20">
        <v>-404</v>
      </c>
      <c r="H24" s="26">
        <f>C24/C23-1</f>
        <v>-0.0514614039470397</v>
      </c>
      <c r="I24" s="26">
        <f>(E24+G24+F24-C24)/C24</f>
        <v>-0.859388991308928</v>
      </c>
      <c r="J24" s="26">
        <f>AVERAGE(K21:K24)</f>
        <v>-0.925988876902259</v>
      </c>
      <c r="K24" s="26">
        <f>('Cashflow'!D24-'Cashflow'!C24)/'Cashflow'!C24</f>
        <v>-1.02276663500754</v>
      </c>
    </row>
    <row r="25" ht="20.05" customHeight="1">
      <c r="B25" s="34"/>
      <c r="C25" s="35">
        <v>2130</v>
      </c>
      <c r="D25" s="37">
        <v>3443.75</v>
      </c>
      <c r="E25" s="20">
        <v>176.1</v>
      </c>
      <c r="F25" s="23">
        <v>-596</v>
      </c>
      <c r="G25" s="20">
        <v>263</v>
      </c>
      <c r="H25" s="26">
        <f>C25/C24-1</f>
        <v>-0.439030813800369</v>
      </c>
      <c r="I25" s="26">
        <f>(E25+G25+F25-C25)/C25</f>
        <v>-1.07366197183099</v>
      </c>
      <c r="J25" s="26">
        <f>AVERAGE(K22:K25)</f>
        <v>-0.902090167425584</v>
      </c>
      <c r="K25" s="26">
        <f>('Cashflow'!D25-'Cashflow'!C25)/'Cashflow'!C25</f>
        <v>-0.8086102441711031</v>
      </c>
    </row>
    <row r="26" ht="20.05" customHeight="1">
      <c r="B26" s="34"/>
      <c r="C26" s="35">
        <f>9616-SUM(C24:C25)</f>
        <v>3689</v>
      </c>
      <c r="D26" s="37">
        <v>2563.8</v>
      </c>
      <c r="E26" s="20">
        <f>544-SUM(E24:E25)</f>
        <v>188</v>
      </c>
      <c r="F26" s="23">
        <f>304-SUM(F24:F25)</f>
        <v>142</v>
      </c>
      <c r="G26" s="20">
        <f>-105-SUM(G24:G25)</f>
        <v>36</v>
      </c>
      <c r="H26" s="26">
        <f>C26/C25-1</f>
        <v>0.731924882629108</v>
      </c>
      <c r="I26" s="26">
        <f>(G26+F26+E26-C26)/C26</f>
        <v>-0.900786120899973</v>
      </c>
      <c r="J26" s="26">
        <f>AVERAGE(K23:K26)</f>
        <v>-0.868890623584359</v>
      </c>
      <c r="K26" s="26">
        <f>('Cashflow'!D26-'Cashflow'!C26)/'Cashflow'!C26</f>
        <v>-0.773685615158794</v>
      </c>
    </row>
    <row r="27" ht="20.05" customHeight="1">
      <c r="B27" s="34"/>
      <c r="C27" s="35">
        <v>3819</v>
      </c>
      <c r="D27" s="37">
        <v>3836.56</v>
      </c>
      <c r="E27" s="20">
        <v>177</v>
      </c>
      <c r="F27" s="23">
        <v>-182</v>
      </c>
      <c r="G27" s="20">
        <v>424</v>
      </c>
      <c r="H27" s="26">
        <f>C27/C26-1</f>
        <v>0.0352399024125779</v>
      </c>
      <c r="I27" s="26">
        <f>(G27+F27+E27-C27)/C27</f>
        <v>-0.890285415030113</v>
      </c>
      <c r="J27" s="26">
        <f>AVERAGE(K24:K27)</f>
        <v>-0.829710015332047</v>
      </c>
      <c r="K27" s="26">
        <f>('Cashflow'!D27-'Cashflow'!C27)/'Cashflow'!C27</f>
        <v>-0.713777566990752</v>
      </c>
    </row>
    <row r="28" ht="20.05" customHeight="1">
      <c r="B28" s="36">
        <v>2021</v>
      </c>
      <c r="C28" s="35">
        <v>3921.9</v>
      </c>
      <c r="D28" s="37">
        <v>3857.19</v>
      </c>
      <c r="E28" s="20">
        <v>180.9</v>
      </c>
      <c r="F28" s="20">
        <v>102.2</v>
      </c>
      <c r="G28" s="20">
        <v>113.3</v>
      </c>
      <c r="H28" s="26">
        <f>C28/C27-1</f>
        <v>0.0269442262372349</v>
      </c>
      <c r="I28" s="26">
        <f>(G28+F28+E28-C28)/C28</f>
        <v>-0.89892654070731</v>
      </c>
      <c r="J28" s="26">
        <f>AVERAGE(K25:K28)</f>
        <v>-0.809810069679139</v>
      </c>
      <c r="K28" s="26">
        <f>('Cashflow'!D28-'Cashflow'!C28)/'Cashflow'!C28</f>
        <v>-0.943166852395907</v>
      </c>
    </row>
    <row r="29" ht="20.05" customHeight="1">
      <c r="B29" s="34"/>
      <c r="C29" s="35">
        <f>7260.7-C28</f>
        <v>3338.8</v>
      </c>
      <c r="D29" s="37">
        <v>4078.776</v>
      </c>
      <c r="E29" s="20">
        <f>363.6-E28</f>
        <v>182.7</v>
      </c>
      <c r="F29" s="20">
        <f>86.7-F28</f>
        <v>-15.5</v>
      </c>
      <c r="G29" s="20">
        <f>95.8-G28</f>
        <v>-17.5</v>
      </c>
      <c r="H29" s="26">
        <f>C29/C28-1</f>
        <v>-0.148677936714348</v>
      </c>
      <c r="I29" s="26">
        <f>(G29+F29+E29-C29)/C29</f>
        <v>-0.955163531807835</v>
      </c>
      <c r="J29" s="26">
        <f>AVERAGE(K26:K29)</f>
        <v>-0.867236569618553</v>
      </c>
      <c r="K29" s="26">
        <f>('Cashflow'!D29-'Cashflow'!C29)/'Cashflow'!C29</f>
        <v>-1.03831624392876</v>
      </c>
    </row>
    <row r="30" ht="20.05" customHeight="1">
      <c r="B30" s="34"/>
      <c r="C30" s="35">
        <f>11199.3-SUM(C28:C29)</f>
        <v>3938.6</v>
      </c>
      <c r="D30" s="37">
        <v>3672.68</v>
      </c>
      <c r="E30" s="20">
        <f>542.2-SUM(E28:E29)</f>
        <v>178.6</v>
      </c>
      <c r="F30" s="38">
        <f>67-SUM(F28:F29)</f>
        <v>-19.7</v>
      </c>
      <c r="G30" s="20">
        <f>15.5-SUM(G28:G29)</f>
        <v>-80.3</v>
      </c>
      <c r="H30" s="26">
        <f>C30/C29-1</f>
        <v>0.179645381574218</v>
      </c>
      <c r="I30" s="26">
        <f>(G30+F30+E30-C30)/C30</f>
        <v>-0.980043670339715</v>
      </c>
      <c r="J30" s="26">
        <f>AVERAGE(K27:K30)</f>
        <v>-0.978458640693555</v>
      </c>
      <c r="K30" s="26">
        <f>('Cashflow'!D30-'Cashflow'!C30)/'Cashflow'!C30</f>
        <v>-1.2185738994588</v>
      </c>
    </row>
    <row r="31" ht="20.05" customHeight="1">
      <c r="B31" s="34"/>
      <c r="C31" s="39"/>
      <c r="D31" s="37">
        <f>'Model'!C6</f>
        <v>4096.144</v>
      </c>
      <c r="E31" s="23"/>
      <c r="F31" s="23"/>
      <c r="G31" s="24"/>
      <c r="H31" s="12"/>
      <c r="I31" s="12">
        <f>'Model'!C7</f>
        <v>-0.925041055756989</v>
      </c>
      <c r="J31" s="26"/>
      <c r="K31" s="26"/>
    </row>
    <row r="32" ht="20.05" customHeight="1">
      <c r="B32" s="36">
        <v>2022</v>
      </c>
      <c r="C32" s="39"/>
      <c r="D32" s="37">
        <f>SUM('Model'!D6)</f>
        <v>4096.144</v>
      </c>
      <c r="E32" s="23"/>
      <c r="F32" s="23"/>
      <c r="G32" s="20"/>
      <c r="H32" s="12"/>
      <c r="I32" s="12"/>
      <c r="J32" s="26"/>
      <c r="K32" s="26"/>
    </row>
    <row r="33" ht="20.05" customHeight="1">
      <c r="B33" s="34"/>
      <c r="C33" s="39"/>
      <c r="D33" s="37">
        <f>'Model'!E6</f>
        <v>4382.87408</v>
      </c>
      <c r="E33" s="23"/>
      <c r="F33" s="23"/>
      <c r="G33" s="20"/>
      <c r="H33" s="12"/>
      <c r="I33" s="12"/>
      <c r="J33" s="26"/>
      <c r="K33" s="26"/>
    </row>
    <row r="34" ht="20.05" customHeight="1">
      <c r="B34" s="34"/>
      <c r="C34" s="39"/>
      <c r="D34" s="37">
        <f>'Model'!F6</f>
        <v>4602.017784</v>
      </c>
      <c r="E34" s="23"/>
      <c r="F34" s="23"/>
      <c r="G34" s="20"/>
      <c r="H34" s="12"/>
      <c r="I34" s="12"/>
      <c r="J34" s="26"/>
      <c r="K34" s="2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7031" style="40" customWidth="1"/>
    <col min="2" max="2" width="8.92969" style="40" customWidth="1"/>
    <col min="3" max="11" width="11.2188" style="40" customWidth="1"/>
    <col min="12" max="16384" width="16.3516" style="40" customWidth="1"/>
  </cols>
  <sheetData>
    <row r="1" ht="36.8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8</v>
      </c>
      <c r="E3" t="s" s="4">
        <v>50</v>
      </c>
      <c r="F3" t="s" s="4">
        <v>51</v>
      </c>
      <c r="G3" t="s" s="4">
        <v>11</v>
      </c>
      <c r="H3" t="s" s="4">
        <v>10</v>
      </c>
      <c r="I3" t="s" s="4">
        <v>52</v>
      </c>
      <c r="J3" t="s" s="4">
        <v>33</v>
      </c>
      <c r="K3" t="s" s="4">
        <v>29</v>
      </c>
    </row>
    <row r="4" ht="20.25" customHeight="1">
      <c r="B4" s="28">
        <v>2015</v>
      </c>
      <c r="C4" s="41">
        <v>3231</v>
      </c>
      <c r="D4" s="31">
        <v>-408</v>
      </c>
      <c r="E4" s="31"/>
      <c r="F4" s="31">
        <v>-197</v>
      </c>
      <c r="G4" s="31">
        <v>388</v>
      </c>
      <c r="H4" s="42"/>
      <c r="I4" s="31">
        <f>D4+F4+H4</f>
        <v>-605</v>
      </c>
      <c r="J4" s="42"/>
      <c r="K4" s="31">
        <f>-(G4-H4)</f>
        <v>-388</v>
      </c>
    </row>
    <row r="5" ht="20.05" customHeight="1">
      <c r="B5" s="34"/>
      <c r="C5" s="19">
        <v>3256</v>
      </c>
      <c r="D5" s="20">
        <v>489</v>
      </c>
      <c r="E5" s="20"/>
      <c r="F5" s="20">
        <v>-279</v>
      </c>
      <c r="G5" s="20">
        <v>-102</v>
      </c>
      <c r="H5" s="23"/>
      <c r="I5" s="20">
        <f>D5+F5+H5</f>
        <v>210</v>
      </c>
      <c r="J5" s="23"/>
      <c r="K5" s="20">
        <f>-(G5-H5)+K4</f>
        <v>-286</v>
      </c>
    </row>
    <row r="6" ht="20.05" customHeight="1">
      <c r="B6" s="34"/>
      <c r="C6" s="19">
        <v>3564</v>
      </c>
      <c r="D6" s="20">
        <v>407</v>
      </c>
      <c r="E6" s="20"/>
      <c r="F6" s="20">
        <v>-343</v>
      </c>
      <c r="G6" s="20">
        <v>-135</v>
      </c>
      <c r="H6" s="23"/>
      <c r="I6" s="20">
        <f>D6+F6+H6</f>
        <v>64</v>
      </c>
      <c r="J6" s="23"/>
      <c r="K6" s="20">
        <f>-(G6-H6)+K5</f>
        <v>-151</v>
      </c>
    </row>
    <row r="7" ht="20.05" customHeight="1">
      <c r="B7" s="34"/>
      <c r="C7" s="19">
        <v>3445</v>
      </c>
      <c r="D7" s="20">
        <v>308</v>
      </c>
      <c r="E7" s="20"/>
      <c r="F7" s="20">
        <v>-585</v>
      </c>
      <c r="G7" s="20">
        <v>102</v>
      </c>
      <c r="H7" s="23"/>
      <c r="I7" s="20">
        <f>D7+F7+H7</f>
        <v>-277</v>
      </c>
      <c r="J7" s="23"/>
      <c r="K7" s="20">
        <f>-(G7-H7)+K6</f>
        <v>-253</v>
      </c>
    </row>
    <row r="8" ht="20.05" customHeight="1">
      <c r="B8" s="36">
        <v>2016</v>
      </c>
      <c r="C8" s="19">
        <v>3071</v>
      </c>
      <c r="D8" s="20">
        <v>108</v>
      </c>
      <c r="E8" s="20"/>
      <c r="F8" s="20">
        <v>-230</v>
      </c>
      <c r="G8" s="20">
        <v>99</v>
      </c>
      <c r="H8" s="23"/>
      <c r="I8" s="20">
        <f>D8+F8+H8</f>
        <v>-122</v>
      </c>
      <c r="J8" s="20">
        <f>AVERAGE(I5:I8)</f>
        <v>-31.25</v>
      </c>
      <c r="K8" s="20">
        <f>-(G8-H8)+K7</f>
        <v>-352</v>
      </c>
    </row>
    <row r="9" ht="20.05" customHeight="1">
      <c r="B9" s="34"/>
      <c r="C9" s="19">
        <v>3943</v>
      </c>
      <c r="D9" s="20">
        <v>617</v>
      </c>
      <c r="E9" s="20"/>
      <c r="F9" s="20">
        <v>-260</v>
      </c>
      <c r="G9" s="20">
        <v>-198</v>
      </c>
      <c r="H9" s="23"/>
      <c r="I9" s="20">
        <f>D9+F9+H9</f>
        <v>357</v>
      </c>
      <c r="J9" s="20">
        <f>AVERAGE(I6:I9)</f>
        <v>5.5</v>
      </c>
      <c r="K9" s="20">
        <f>-(G9-H9)+K8</f>
        <v>-154</v>
      </c>
    </row>
    <row r="10" ht="20.05" customHeight="1">
      <c r="B10" s="34"/>
      <c r="C10" s="19">
        <v>3172</v>
      </c>
      <c r="D10" s="20">
        <v>123</v>
      </c>
      <c r="E10" s="20"/>
      <c r="F10" s="20">
        <v>-210</v>
      </c>
      <c r="G10" s="20">
        <v>48</v>
      </c>
      <c r="H10" s="23"/>
      <c r="I10" s="20">
        <f>D10+F10+H10</f>
        <v>-87</v>
      </c>
      <c r="J10" s="20">
        <f>AVERAGE(I7:I10)</f>
        <v>-32.25</v>
      </c>
      <c r="K10" s="20">
        <f>-(G10-H10)+K9</f>
        <v>-202</v>
      </c>
    </row>
    <row r="11" ht="20.05" customHeight="1">
      <c r="B11" s="34"/>
      <c r="C11" s="19">
        <v>3453</v>
      </c>
      <c r="D11" s="20">
        <v>445</v>
      </c>
      <c r="E11" s="20"/>
      <c r="F11" s="20">
        <v>-370</v>
      </c>
      <c r="G11" s="20">
        <v>-41</v>
      </c>
      <c r="H11" s="23"/>
      <c r="I11" s="20">
        <f>D11+F11+H11</f>
        <v>75</v>
      </c>
      <c r="J11" s="20">
        <f>AVERAGE(I8:I11)</f>
        <v>55.75</v>
      </c>
      <c r="K11" s="20">
        <f>-(G11-H11)+K10</f>
        <v>-161</v>
      </c>
    </row>
    <row r="12" ht="20.05" customHeight="1">
      <c r="B12" s="36">
        <v>2017</v>
      </c>
      <c r="C12" s="19">
        <v>3641</v>
      </c>
      <c r="D12" s="20">
        <v>-291</v>
      </c>
      <c r="E12" s="20"/>
      <c r="F12" s="20">
        <v>-171</v>
      </c>
      <c r="G12" s="20">
        <v>70</v>
      </c>
      <c r="H12" s="23"/>
      <c r="I12" s="20">
        <f>D12+F12+H12</f>
        <v>-462</v>
      </c>
      <c r="J12" s="20">
        <f>AVERAGE(I9:I12)</f>
        <v>-29.25</v>
      </c>
      <c r="K12" s="20">
        <f>-(G12-H12)+K11</f>
        <v>-231</v>
      </c>
    </row>
    <row r="13" ht="20.05" customHeight="1">
      <c r="B13" s="34"/>
      <c r="C13" s="19">
        <v>3523</v>
      </c>
      <c r="D13" s="20">
        <v>-77</v>
      </c>
      <c r="E13" s="20"/>
      <c r="F13" s="20">
        <v>-155</v>
      </c>
      <c r="G13" s="20">
        <v>354</v>
      </c>
      <c r="H13" s="23"/>
      <c r="I13" s="20">
        <f>D13+F13+H13</f>
        <v>-232</v>
      </c>
      <c r="J13" s="20">
        <f>AVERAGE(I10:I13)</f>
        <v>-176.5</v>
      </c>
      <c r="K13" s="20">
        <f>-(G13-H13)+K12</f>
        <v>-585</v>
      </c>
    </row>
    <row r="14" ht="20.05" customHeight="1">
      <c r="B14" s="34"/>
      <c r="C14" s="19">
        <v>3915</v>
      </c>
      <c r="D14" s="20">
        <v>314</v>
      </c>
      <c r="E14" s="20"/>
      <c r="F14" s="20">
        <v>242</v>
      </c>
      <c r="G14" s="20">
        <v>-434</v>
      </c>
      <c r="H14" s="23"/>
      <c r="I14" s="20">
        <f>D14+F14+H14</f>
        <v>556</v>
      </c>
      <c r="J14" s="20">
        <f>AVERAGE(I11:I14)</f>
        <v>-15.75</v>
      </c>
      <c r="K14" s="20">
        <f>-(G14-H14)+K13</f>
        <v>-151</v>
      </c>
    </row>
    <row r="15" ht="20.05" customHeight="1">
      <c r="B15" s="34"/>
      <c r="C15" s="19">
        <v>4448</v>
      </c>
      <c r="D15" s="20">
        <v>793</v>
      </c>
      <c r="E15" s="20"/>
      <c r="F15" s="20">
        <v>-65</v>
      </c>
      <c r="G15" s="20">
        <v>-615</v>
      </c>
      <c r="H15" s="23"/>
      <c r="I15" s="20">
        <f>D15+F15+H15</f>
        <v>728</v>
      </c>
      <c r="J15" s="20">
        <f>AVERAGE(I12:I15)</f>
        <v>147.5</v>
      </c>
      <c r="K15" s="20">
        <f>-(G15-H15)+K14</f>
        <v>464</v>
      </c>
    </row>
    <row r="16" ht="20.05" customHeight="1">
      <c r="B16" s="36">
        <v>2018</v>
      </c>
      <c r="C16" s="19">
        <v>4204</v>
      </c>
      <c r="D16" s="20">
        <v>1060</v>
      </c>
      <c r="E16" s="20"/>
      <c r="F16" s="20">
        <v>-68</v>
      </c>
      <c r="G16" s="20">
        <v>-15</v>
      </c>
      <c r="H16" s="23"/>
      <c r="I16" s="20">
        <f>D16+F16+H16</f>
        <v>992</v>
      </c>
      <c r="J16" s="20">
        <f>AVERAGE(I13:I16)</f>
        <v>511</v>
      </c>
      <c r="K16" s="20">
        <f>-(G16-H16)+K15</f>
        <v>479</v>
      </c>
    </row>
    <row r="17" ht="20.05" customHeight="1">
      <c r="B17" s="34"/>
      <c r="C17" s="19">
        <v>3951</v>
      </c>
      <c r="D17" s="20">
        <v>71</v>
      </c>
      <c r="E17" s="20"/>
      <c r="F17" s="20">
        <v>-108</v>
      </c>
      <c r="G17" s="20">
        <v>-200</v>
      </c>
      <c r="H17" s="23"/>
      <c r="I17" s="20">
        <f>D17+F17+H17</f>
        <v>-37</v>
      </c>
      <c r="J17" s="20">
        <f>AVERAGE(I14:I17)</f>
        <v>559.75</v>
      </c>
      <c r="K17" s="20">
        <f>-(G17-H17)+K16</f>
        <v>679</v>
      </c>
    </row>
    <row r="18" ht="20.05" customHeight="1">
      <c r="B18" s="34"/>
      <c r="C18" s="19">
        <v>3801</v>
      </c>
      <c r="D18" s="20">
        <v>-597</v>
      </c>
      <c r="E18" s="20"/>
      <c r="F18" s="20">
        <v>-154</v>
      </c>
      <c r="G18" s="20">
        <v>52</v>
      </c>
      <c r="H18" s="23"/>
      <c r="I18" s="20">
        <f>D18+F18+H18</f>
        <v>-751</v>
      </c>
      <c r="J18" s="20">
        <f>AVERAGE(I15:I18)</f>
        <v>233</v>
      </c>
      <c r="K18" s="20">
        <f>-(G18-H18)+K17</f>
        <v>627</v>
      </c>
    </row>
    <row r="19" ht="20.05" customHeight="1">
      <c r="B19" s="34"/>
      <c r="C19" s="19">
        <v>4152</v>
      </c>
      <c r="D19" s="20">
        <v>-54</v>
      </c>
      <c r="E19" s="20"/>
      <c r="F19" s="20">
        <v>-206</v>
      </c>
      <c r="G19" s="20">
        <v>157</v>
      </c>
      <c r="H19" s="23"/>
      <c r="I19" s="20">
        <f>D19+F19+H19</f>
        <v>-260</v>
      </c>
      <c r="J19" s="20">
        <f>AVERAGE(I16:I19)</f>
        <v>-14</v>
      </c>
      <c r="K19" s="20">
        <f>-(G19-H19)+K18</f>
        <v>470</v>
      </c>
    </row>
    <row r="20" ht="20.05" customHeight="1">
      <c r="B20" s="36">
        <v>2019</v>
      </c>
      <c r="C20" s="19">
        <v>3988</v>
      </c>
      <c r="D20" s="20">
        <v>-61</v>
      </c>
      <c r="E20" s="20">
        <v>-135</v>
      </c>
      <c r="F20" s="20">
        <v>-142</v>
      </c>
      <c r="G20" s="20">
        <v>84</v>
      </c>
      <c r="H20" s="23"/>
      <c r="I20" s="20">
        <f>D20+F20+H20</f>
        <v>-203</v>
      </c>
      <c r="J20" s="20">
        <f>AVERAGE(I17:I20)</f>
        <v>-312.75</v>
      </c>
      <c r="K20" s="20">
        <f>-(G20-H20)+K19</f>
        <v>386</v>
      </c>
    </row>
    <row r="21" ht="20.05" customHeight="1">
      <c r="B21" s="34"/>
      <c r="C21" s="19">
        <v>4447</v>
      </c>
      <c r="D21" s="20">
        <v>426</v>
      </c>
      <c r="E21" s="20">
        <v>-107</v>
      </c>
      <c r="F21" s="20">
        <v>-171</v>
      </c>
      <c r="G21" s="20">
        <v>-72</v>
      </c>
      <c r="H21" s="23"/>
      <c r="I21" s="20">
        <f>D21+F21+H21</f>
        <v>255</v>
      </c>
      <c r="J21" s="20">
        <f>AVERAGE(I18:I21)</f>
        <v>-239.75</v>
      </c>
      <c r="K21" s="20">
        <f>-(G21-H21)+K20</f>
        <v>458</v>
      </c>
    </row>
    <row r="22" ht="20.05" customHeight="1">
      <c r="B22" s="34"/>
      <c r="C22" s="19">
        <v>4010</v>
      </c>
      <c r="D22" s="20">
        <v>375</v>
      </c>
      <c r="E22" s="20">
        <v>-251</v>
      </c>
      <c r="F22" s="20">
        <v>-184</v>
      </c>
      <c r="G22" s="20">
        <v>-261</v>
      </c>
      <c r="H22" s="23"/>
      <c r="I22" s="20">
        <f>D22+F22+H22</f>
        <v>191</v>
      </c>
      <c r="J22" s="20">
        <f>AVERAGE(I19:I22)</f>
        <v>-4.25</v>
      </c>
      <c r="K22" s="20">
        <f>-(G22-H22)+K21</f>
        <v>719</v>
      </c>
    </row>
    <row r="23" ht="20.05" customHeight="1">
      <c r="B23" s="34"/>
      <c r="C23" s="19">
        <v>4000</v>
      </c>
      <c r="D23" s="20">
        <v>518</v>
      </c>
      <c r="E23" s="20">
        <v>-106.4</v>
      </c>
      <c r="F23" s="20">
        <v>-139</v>
      </c>
      <c r="G23" s="20">
        <v>-398</v>
      </c>
      <c r="H23" s="23"/>
      <c r="I23" s="20">
        <f>D23+F23+H23</f>
        <v>379</v>
      </c>
      <c r="J23" s="20">
        <f>AVERAGE(I20:I23)</f>
        <v>155.5</v>
      </c>
      <c r="K23" s="20">
        <f>-(G23-H23)+K22</f>
        <v>1117</v>
      </c>
    </row>
    <row r="24" ht="20.05" customHeight="1">
      <c r="B24" s="36">
        <v>2020</v>
      </c>
      <c r="C24" s="19">
        <v>3579.8</v>
      </c>
      <c r="D24" s="20">
        <v>-81.5</v>
      </c>
      <c r="E24" s="20">
        <v>-139.5</v>
      </c>
      <c r="F24" s="20">
        <v>-121.1</v>
      </c>
      <c r="G24" s="20">
        <v>203.7</v>
      </c>
      <c r="H24" s="23">
        <v>-14</v>
      </c>
      <c r="I24" s="20">
        <f>D24+F24+H24</f>
        <v>-216.6</v>
      </c>
      <c r="J24" s="20">
        <f>AVERAGE(I21:I24)</f>
        <v>152.1</v>
      </c>
      <c r="K24" s="43">
        <f>-(G24-H24)+K23</f>
        <v>899.3</v>
      </c>
    </row>
    <row r="25" ht="20.05" customHeight="1">
      <c r="B25" s="34"/>
      <c r="C25" s="19">
        <v>3268.2</v>
      </c>
      <c r="D25" s="20">
        <v>625.5</v>
      </c>
      <c r="E25" s="20">
        <v>-103.8</v>
      </c>
      <c r="F25" s="20">
        <v>-59.9</v>
      </c>
      <c r="G25" s="20">
        <v>-485.7</v>
      </c>
      <c r="H25" s="23">
        <v>-14</v>
      </c>
      <c r="I25" s="20">
        <f>D25+F25+H25</f>
        <v>551.6</v>
      </c>
      <c r="J25" s="20">
        <f>AVERAGE(I22:I25)</f>
        <v>226.25</v>
      </c>
      <c r="K25" s="20">
        <f>-(G25-H25)+K24</f>
        <v>1371</v>
      </c>
    </row>
    <row r="26" ht="20.05" customHeight="1">
      <c r="B26" s="34"/>
      <c r="C26" s="19">
        <f>10595-SUM(C24:C25)</f>
        <v>3747</v>
      </c>
      <c r="D26" s="20">
        <f>1392-SUM(D24:D25)</f>
        <v>848</v>
      </c>
      <c r="E26" s="20">
        <v>66.90000000000001</v>
      </c>
      <c r="F26" s="20">
        <f>-238-SUM(F24:F25)</f>
        <v>-57</v>
      </c>
      <c r="G26" s="20">
        <f>-1111-SUM(G24:G25)</f>
        <v>-829</v>
      </c>
      <c r="H26" s="23">
        <v>-14</v>
      </c>
      <c r="I26" s="20">
        <f>D26+F26+H26</f>
        <v>777</v>
      </c>
      <c r="J26" s="20">
        <f>AVERAGE(I23:I26)</f>
        <v>372.75</v>
      </c>
      <c r="K26" s="20">
        <f>-(G26-H26)+K25</f>
        <v>2186</v>
      </c>
    </row>
    <row r="27" ht="20.05" customHeight="1">
      <c r="B27" s="34"/>
      <c r="C27" s="19">
        <v>4217</v>
      </c>
      <c r="D27" s="20">
        <v>1207</v>
      </c>
      <c r="E27" s="20">
        <v>-127.5</v>
      </c>
      <c r="F27" s="20">
        <v>-157</v>
      </c>
      <c r="G27" s="20">
        <v>-668</v>
      </c>
      <c r="H27" s="23">
        <v>-14</v>
      </c>
      <c r="I27" s="20">
        <f>D27+F27+H27</f>
        <v>1036</v>
      </c>
      <c r="J27" s="20">
        <f>AVERAGE(I24:I27)</f>
        <v>537</v>
      </c>
      <c r="K27" s="20">
        <f>-(G27-H27)+K26</f>
        <v>2840</v>
      </c>
    </row>
    <row r="28" ht="20.05" customHeight="1">
      <c r="B28" s="36">
        <v>2021</v>
      </c>
      <c r="C28" s="19">
        <v>3948.4</v>
      </c>
      <c r="D28" s="20">
        <v>224.4</v>
      </c>
      <c r="E28" s="20">
        <v>-311.3</v>
      </c>
      <c r="F28" s="20">
        <v>-113.4</v>
      </c>
      <c r="G28" s="20">
        <f>52.9</f>
        <v>52.9</v>
      </c>
      <c r="H28" s="20">
        <v>-6.1</v>
      </c>
      <c r="I28" s="20">
        <f>D28+F28+H28</f>
        <v>104.9</v>
      </c>
      <c r="J28" s="20">
        <f>AVERAGE(I25:I28)</f>
        <v>617.375</v>
      </c>
      <c r="K28" s="20">
        <f>-(G28-H28)+K27</f>
        <v>2781</v>
      </c>
    </row>
    <row r="29" ht="20.05" customHeight="1">
      <c r="B29" s="34"/>
      <c r="C29" s="19">
        <f>8025-C28</f>
        <v>4076.6</v>
      </c>
      <c r="D29" s="20">
        <f>68.2-D28</f>
        <v>-156.2</v>
      </c>
      <c r="E29" s="20">
        <v>-67.3</v>
      </c>
      <c r="F29" s="20">
        <f>-172.9-F28</f>
        <v>-59.5</v>
      </c>
      <c r="G29" s="20">
        <f>434.9-G28</f>
        <v>382</v>
      </c>
      <c r="H29" s="20">
        <f>-12.3-H28</f>
        <v>-6.2</v>
      </c>
      <c r="I29" s="20">
        <f>D29+F29+H29</f>
        <v>-221.9</v>
      </c>
      <c r="J29" s="20">
        <f>AVERAGE(I26:I29)</f>
        <v>424</v>
      </c>
      <c r="K29" s="20">
        <f>-(G29-H29)+K28</f>
        <v>2392.8</v>
      </c>
    </row>
    <row r="30" ht="20.05" customHeight="1">
      <c r="B30" s="34"/>
      <c r="C30" s="19">
        <f>11609.6-SUM(C28:C29)</f>
        <v>3584.6</v>
      </c>
      <c r="D30" s="20">
        <f>-715.3-SUM(D28:D29)</f>
        <v>-783.5</v>
      </c>
      <c r="E30" s="20">
        <f>-441.1-SUM(E28:E29)</f>
        <v>-62.5</v>
      </c>
      <c r="F30" s="20">
        <f>-239.8-SUM(F28:F29)</f>
        <v>-66.90000000000001</v>
      </c>
      <c r="G30" s="20">
        <f>673.1-SUM(G28:G29)</f>
        <v>238.2</v>
      </c>
      <c r="H30" s="20">
        <f>-18.5-SUM(H28:H29)</f>
        <v>-6.2</v>
      </c>
      <c r="I30" s="20">
        <f>D30+F30+H30</f>
        <v>-856.6</v>
      </c>
      <c r="J30" s="20">
        <f>AVERAGE(I27:I30)</f>
        <v>15.6</v>
      </c>
      <c r="K30" s="20">
        <f>-(G30-H30)+K29</f>
        <v>2148.4</v>
      </c>
    </row>
    <row r="31" ht="20.05" customHeight="1">
      <c r="B31" s="34"/>
      <c r="C31" s="19"/>
      <c r="D31" s="20"/>
      <c r="E31" s="20"/>
      <c r="F31" s="20"/>
      <c r="G31" s="20"/>
      <c r="H31" s="20"/>
      <c r="I31" s="20"/>
      <c r="J31" s="20">
        <f>SUM('Model'!F9:F11)</f>
        <v>276.2623944762</v>
      </c>
      <c r="K31" s="20">
        <f>'Model'!F33</f>
        <v>3136.383267677740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8828" style="44" customWidth="1"/>
    <col min="2" max="5" width="10.2578" style="44" customWidth="1"/>
    <col min="6" max="6" hidden="1" width="16.3333" style="44" customWidth="1"/>
    <col min="7" max="11" width="10.2578" style="44" customWidth="1"/>
    <col min="12" max="16384" width="16.3516" style="44" customWidth="1"/>
  </cols>
  <sheetData>
    <row r="1" ht="27.65" customHeight="1">
      <c r="A1" t="s" s="2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8.65" customHeight="1">
      <c r="A2" t="s" s="4">
        <v>1</v>
      </c>
      <c r="B2" t="s" s="4">
        <v>54</v>
      </c>
      <c r="C2" t="s" s="4">
        <v>55</v>
      </c>
      <c r="D2" t="s" s="4">
        <v>56</v>
      </c>
      <c r="E2" t="s" s="4">
        <v>24</v>
      </c>
      <c r="F2" t="s" s="45">
        <v>57</v>
      </c>
      <c r="G2" t="s" s="4">
        <v>12</v>
      </c>
      <c r="H2" t="s" s="4">
        <v>13</v>
      </c>
      <c r="I2" t="s" s="4">
        <v>58</v>
      </c>
      <c r="J2" t="s" s="4">
        <v>27</v>
      </c>
      <c r="K2" t="s" s="4">
        <v>35</v>
      </c>
    </row>
    <row r="3" ht="21.1" customHeight="1">
      <c r="A3" s="28">
        <v>2016</v>
      </c>
      <c r="B3" s="41">
        <v>608</v>
      </c>
      <c r="C3" s="31">
        <v>17471</v>
      </c>
      <c r="D3" s="31">
        <f>C3-B3</f>
        <v>16863</v>
      </c>
      <c r="E3" s="31"/>
      <c r="F3" s="46">
        <f>B3+D3+#REF!</f>
      </c>
      <c r="G3" s="31">
        <v>11776</v>
      </c>
      <c r="H3" s="47">
        <v>5695</v>
      </c>
      <c r="I3" s="31">
        <f>G3+H3-B3-D3</f>
        <v>0</v>
      </c>
      <c r="J3" s="31">
        <f>B3-G3</f>
        <v>-11168</v>
      </c>
      <c r="K3" s="31"/>
    </row>
    <row r="4" ht="20.9" customHeight="1">
      <c r="A4" s="34"/>
      <c r="B4" s="19">
        <v>758</v>
      </c>
      <c r="C4" s="20">
        <v>17685</v>
      </c>
      <c r="D4" s="20">
        <f>C4-B4</f>
        <v>16927</v>
      </c>
      <c r="E4" s="20"/>
      <c r="F4" s="37">
        <f>B4+D4+#REF!</f>
      </c>
      <c r="G4" s="20">
        <v>11791</v>
      </c>
      <c r="H4" s="48">
        <v>5893</v>
      </c>
      <c r="I4" s="20">
        <f>G4+H4-B4-D4</f>
        <v>-1</v>
      </c>
      <c r="J4" s="20">
        <f>B4-G4</f>
        <v>-11033</v>
      </c>
      <c r="K4" s="20"/>
    </row>
    <row r="5" ht="20.9" customHeight="1">
      <c r="A5" s="34"/>
      <c r="B5" s="19">
        <v>713</v>
      </c>
      <c r="C5" s="20">
        <v>17962</v>
      </c>
      <c r="D5" s="20">
        <f>C5-B5</f>
        <v>17249</v>
      </c>
      <c r="E5" s="20"/>
      <c r="F5" s="37">
        <f>B5+D5+#REF!</f>
      </c>
      <c r="G5" s="20">
        <v>12207</v>
      </c>
      <c r="H5" s="48">
        <v>5755</v>
      </c>
      <c r="I5" s="20">
        <f>G5+H5-B5-D5</f>
        <v>0</v>
      </c>
      <c r="J5" s="20">
        <f>B5-G5</f>
        <v>-11494</v>
      </c>
      <c r="K5" s="20"/>
    </row>
    <row r="6" ht="20.9" customHeight="1">
      <c r="A6" s="34"/>
      <c r="B6" s="19">
        <v>756</v>
      </c>
      <c r="C6" s="20">
        <v>18697</v>
      </c>
      <c r="D6" s="20">
        <f>C6-B6</f>
        <v>17941</v>
      </c>
      <c r="E6" s="20"/>
      <c r="F6" s="37">
        <f>B6+D6+#REF!</f>
      </c>
      <c r="G6" s="20">
        <v>12850</v>
      </c>
      <c r="H6" s="48">
        <v>5848</v>
      </c>
      <c r="I6" s="20">
        <f>G6+H6-B6-D6</f>
        <v>1</v>
      </c>
      <c r="J6" s="20">
        <f>B6-G6</f>
        <v>-12094</v>
      </c>
      <c r="K6" s="20"/>
    </row>
    <row r="7" ht="20.9" customHeight="1">
      <c r="A7" s="36">
        <v>2017</v>
      </c>
      <c r="B7" s="19">
        <v>361</v>
      </c>
      <c r="C7" s="20">
        <v>19235</v>
      </c>
      <c r="D7" s="20">
        <f>C7-B7</f>
        <v>18874</v>
      </c>
      <c r="E7" s="20">
        <v>7009</v>
      </c>
      <c r="F7" s="37">
        <f>B7+D7+#REF!</f>
      </c>
      <c r="G7" s="20">
        <v>13176</v>
      </c>
      <c r="H7" s="48">
        <v>6059</v>
      </c>
      <c r="I7" s="20">
        <f>G7+H7-B7-D7</f>
        <v>0</v>
      </c>
      <c r="J7" s="20">
        <f>B7-G7</f>
        <v>-12815</v>
      </c>
      <c r="K7" s="20"/>
    </row>
    <row r="8" ht="20.9" customHeight="1">
      <c r="A8" s="34"/>
      <c r="B8" s="19">
        <v>484</v>
      </c>
      <c r="C8" s="20">
        <v>19529</v>
      </c>
      <c r="D8" s="20">
        <f>C8-B8</f>
        <v>19045</v>
      </c>
      <c r="E8" s="20">
        <v>7193</v>
      </c>
      <c r="F8" s="37">
        <f>B8+D8+#REF!</f>
      </c>
      <c r="G8" s="20">
        <v>13902</v>
      </c>
      <c r="H8" s="48">
        <v>5626</v>
      </c>
      <c r="I8" s="20">
        <f>G8+H8-B8-D8</f>
        <v>-1</v>
      </c>
      <c r="J8" s="20">
        <f>B8-G8</f>
        <v>-13418</v>
      </c>
      <c r="K8" s="20"/>
    </row>
    <row r="9" ht="20.9" customHeight="1">
      <c r="A9" s="34"/>
      <c r="B9" s="19">
        <v>613</v>
      </c>
      <c r="C9" s="20">
        <v>18989</v>
      </c>
      <c r="D9" s="20">
        <f>C9-B9</f>
        <v>18376</v>
      </c>
      <c r="E9" s="20">
        <v>7379</v>
      </c>
      <c r="F9" s="37">
        <f>B9+D9+#REF!</f>
      </c>
      <c r="G9" s="20">
        <v>13471</v>
      </c>
      <c r="H9" s="48">
        <v>5517</v>
      </c>
      <c r="I9" s="20">
        <f>G9+H9-B9-D9</f>
        <v>-1</v>
      </c>
      <c r="J9" s="20">
        <f>B9-G9</f>
        <v>-12858</v>
      </c>
      <c r="K9" s="20"/>
    </row>
    <row r="10" ht="20.9" customHeight="1">
      <c r="A10" s="34"/>
      <c r="B10" s="19">
        <v>696</v>
      </c>
      <c r="C10" s="20">
        <v>18191</v>
      </c>
      <c r="D10" s="20">
        <f>C10-B10</f>
        <v>17495</v>
      </c>
      <c r="E10" s="20">
        <v>7489</v>
      </c>
      <c r="F10" s="37">
        <f>B10+D10+#REF!</f>
      </c>
      <c r="G10" s="20">
        <v>12502</v>
      </c>
      <c r="H10" s="48">
        <v>5689</v>
      </c>
      <c r="I10" s="20">
        <f>G10+H10-B10-D10</f>
        <v>0</v>
      </c>
      <c r="J10" s="20">
        <f>B10-G10</f>
        <v>-11806</v>
      </c>
      <c r="K10" s="20"/>
    </row>
    <row r="11" ht="20.9" customHeight="1">
      <c r="A11" s="36">
        <v>2018</v>
      </c>
      <c r="B11" s="19">
        <v>1687</v>
      </c>
      <c r="C11" s="20">
        <v>19162</v>
      </c>
      <c r="D11" s="20">
        <f>C11-B11</f>
        <v>17475</v>
      </c>
      <c r="E11" s="20">
        <v>7657</v>
      </c>
      <c r="F11" s="37">
        <f>B11+D11+#REF!</f>
      </c>
      <c r="G11" s="20">
        <v>13375</v>
      </c>
      <c r="H11" s="48">
        <v>5787</v>
      </c>
      <c r="I11" s="20">
        <f>G11+H11-B11-D11</f>
        <v>0</v>
      </c>
      <c r="J11" s="20">
        <f>B11-G11</f>
        <v>-11688</v>
      </c>
      <c r="K11" s="20"/>
    </row>
    <row r="12" ht="20.9" customHeight="1">
      <c r="A12" s="34"/>
      <c r="B12" s="19">
        <v>1533</v>
      </c>
      <c r="C12" s="20">
        <v>19188</v>
      </c>
      <c r="D12" s="20">
        <f>C12-B12</f>
        <v>17655</v>
      </c>
      <c r="E12" s="20">
        <v>10083</v>
      </c>
      <c r="F12" s="37">
        <f>B12+D12+#REF!</f>
      </c>
      <c r="G12" s="20">
        <v>13496</v>
      </c>
      <c r="H12" s="48">
        <v>5692</v>
      </c>
      <c r="I12" s="20">
        <f>G12+H12-B12-D12</f>
        <v>0</v>
      </c>
      <c r="J12" s="20">
        <f>B12-G12</f>
        <v>-11963</v>
      </c>
      <c r="K12" s="20"/>
    </row>
    <row r="13" ht="20.9" customHeight="1">
      <c r="A13" s="34"/>
      <c r="B13" s="19">
        <v>837</v>
      </c>
      <c r="C13" s="20">
        <v>19712</v>
      </c>
      <c r="D13" s="20">
        <f>C13-B13</f>
        <v>18875</v>
      </c>
      <c r="E13" s="20">
        <v>10354</v>
      </c>
      <c r="F13" s="37">
        <f>B13+D13+#REF!</f>
      </c>
      <c r="G13" s="20">
        <v>14131</v>
      </c>
      <c r="H13" s="48">
        <v>5581</v>
      </c>
      <c r="I13" s="20">
        <f>G13+H13-B13-D13</f>
        <v>0</v>
      </c>
      <c r="J13" s="20">
        <f>B13-G13</f>
        <v>-13294</v>
      </c>
      <c r="K13" s="20"/>
    </row>
    <row r="14" ht="20.9" customHeight="1">
      <c r="A14" s="34"/>
      <c r="B14" s="19">
        <v>671</v>
      </c>
      <c r="C14" s="20">
        <v>19711</v>
      </c>
      <c r="D14" s="20">
        <f>C14-B14</f>
        <v>19040</v>
      </c>
      <c r="E14" s="20">
        <f>10462+18</f>
        <v>10480</v>
      </c>
      <c r="F14" s="37">
        <f>B14+D14+#REF!</f>
      </c>
      <c r="G14" s="20">
        <v>13835</v>
      </c>
      <c r="H14" s="48">
        <v>5875</v>
      </c>
      <c r="I14" s="20">
        <f>G14+H14-B14-D14</f>
        <v>-1</v>
      </c>
      <c r="J14" s="20">
        <f>B14-G14</f>
        <v>-13164</v>
      </c>
      <c r="K14" s="20"/>
    </row>
    <row r="15" ht="20.9" customHeight="1">
      <c r="A15" s="36">
        <v>2019</v>
      </c>
      <c r="B15" s="19">
        <v>549</v>
      </c>
      <c r="C15" s="20">
        <v>20005</v>
      </c>
      <c r="D15" s="20">
        <f>C15-B15</f>
        <v>19456</v>
      </c>
      <c r="E15" s="20">
        <v>10598</v>
      </c>
      <c r="F15" s="37">
        <f>B15+D15+#REF!</f>
      </c>
      <c r="G15" s="20">
        <v>13977</v>
      </c>
      <c r="H15" s="48">
        <v>6028</v>
      </c>
      <c r="I15" s="20">
        <f>G15+H15-B15-D15</f>
        <v>0</v>
      </c>
      <c r="J15" s="20">
        <f>B15-G15</f>
        <v>-13428</v>
      </c>
      <c r="K15" s="20"/>
    </row>
    <row r="16" ht="20.9" customHeight="1">
      <c r="A16" s="34"/>
      <c r="B16" s="19">
        <v>727</v>
      </c>
      <c r="C16" s="20">
        <v>19302</v>
      </c>
      <c r="D16" s="20">
        <f>C16-B16</f>
        <v>18575</v>
      </c>
      <c r="E16" s="20">
        <v>10716</v>
      </c>
      <c r="F16" s="37">
        <f>B16+D16+#REF!</f>
      </c>
      <c r="G16" s="20">
        <v>13293</v>
      </c>
      <c r="H16" s="48">
        <v>6010</v>
      </c>
      <c r="I16" s="20">
        <f>G16+H16-B16-D16</f>
        <v>1</v>
      </c>
      <c r="J16" s="20">
        <f>B16-G16</f>
        <v>-12566</v>
      </c>
      <c r="K16" s="20"/>
    </row>
    <row r="17" ht="20.9" customHeight="1">
      <c r="A17" s="34"/>
      <c r="B17" s="19">
        <v>657</v>
      </c>
      <c r="C17" s="20">
        <v>19231</v>
      </c>
      <c r="D17" s="20">
        <f>C17-B17</f>
        <v>18574</v>
      </c>
      <c r="E17" s="20">
        <v>10896</v>
      </c>
      <c r="F17" s="37">
        <f>B17+D17+#REF!</f>
      </c>
      <c r="G17" s="20">
        <v>13246</v>
      </c>
      <c r="H17" s="48">
        <v>5985</v>
      </c>
      <c r="I17" s="20">
        <f>G17+H17-B17-D17</f>
        <v>0</v>
      </c>
      <c r="J17" s="20">
        <f>B17-G17</f>
        <v>-12589</v>
      </c>
      <c r="K17" s="20"/>
    </row>
    <row r="18" ht="20.9" customHeight="1">
      <c r="A18" s="34"/>
      <c r="B18" s="19">
        <v>635</v>
      </c>
      <c r="C18" s="20">
        <v>18856</v>
      </c>
      <c r="D18" s="20">
        <f>C18-B18</f>
        <v>18221</v>
      </c>
      <c r="E18" s="20">
        <f>11007+24</f>
        <v>11031</v>
      </c>
      <c r="F18" s="37">
        <f>B18+D18+#REF!</f>
      </c>
      <c r="G18" s="20">
        <v>12620</v>
      </c>
      <c r="H18" s="48">
        <v>6236</v>
      </c>
      <c r="I18" s="20">
        <f>G18+H18-B18-D18</f>
        <v>0</v>
      </c>
      <c r="J18" s="20">
        <f>B18-G18</f>
        <v>-11985</v>
      </c>
      <c r="K18" s="20"/>
    </row>
    <row r="19" ht="20.9" customHeight="1">
      <c r="A19" s="36">
        <v>2020</v>
      </c>
      <c r="B19" s="19">
        <v>681</v>
      </c>
      <c r="C19" s="20">
        <v>20450</v>
      </c>
      <c r="D19" s="20">
        <f>C19-B19</f>
        <v>19769</v>
      </c>
      <c r="E19" s="20">
        <f>29.7+11580.5</f>
        <v>11610.2</v>
      </c>
      <c r="F19" s="37">
        <f>B19+D19+#REF!</f>
      </c>
      <c r="G19" s="20">
        <v>14385</v>
      </c>
      <c r="H19" s="48">
        <v>6065</v>
      </c>
      <c r="I19" s="20">
        <f>G19+H19-B19-D19</f>
        <v>0</v>
      </c>
      <c r="J19" s="20">
        <f>B19-G19</f>
        <v>-13704</v>
      </c>
      <c r="K19" s="20"/>
    </row>
    <row r="20" ht="20.9" customHeight="1">
      <c r="A20" s="34"/>
      <c r="B20" s="19">
        <v>724</v>
      </c>
      <c r="C20" s="20">
        <v>18366</v>
      </c>
      <c r="D20" s="20">
        <f>C20-B20</f>
        <v>17642</v>
      </c>
      <c r="E20" s="20">
        <f>11413+28</f>
        <v>11441</v>
      </c>
      <c r="F20" s="37">
        <f>B20+D20+#REF!</f>
      </c>
      <c r="G20" s="20">
        <v>12240</v>
      </c>
      <c r="H20" s="48">
        <v>6126</v>
      </c>
      <c r="I20" s="20">
        <f>G20+H20-B20-D20</f>
        <v>0</v>
      </c>
      <c r="J20" s="20">
        <f>B20-G20</f>
        <v>-11516</v>
      </c>
      <c r="K20" s="20"/>
    </row>
    <row r="21" ht="20.9" customHeight="1">
      <c r="A21" s="34"/>
      <c r="B21" s="19">
        <v>699</v>
      </c>
      <c r="C21" s="20">
        <v>17975</v>
      </c>
      <c r="D21" s="20">
        <f>C21-B21</f>
        <v>17276</v>
      </c>
      <c r="E21" s="20">
        <f>31+11685</f>
        <v>11716</v>
      </c>
      <c r="F21" s="37">
        <f>B21+D21+#REF!</f>
      </c>
      <c r="G21" s="20">
        <v>11761</v>
      </c>
      <c r="H21" s="48">
        <v>6214</v>
      </c>
      <c r="I21" s="20">
        <f>G21+H21-B21-D21</f>
        <v>0</v>
      </c>
      <c r="J21" s="20">
        <f>B21-G21</f>
        <v>-11062</v>
      </c>
      <c r="K21" s="20"/>
    </row>
    <row r="22" ht="20.9" customHeight="1">
      <c r="A22" s="34"/>
      <c r="B22" s="19">
        <v>1045</v>
      </c>
      <c r="C22" s="20">
        <v>17782</v>
      </c>
      <c r="D22" s="20">
        <f>C22-B22</f>
        <v>16737</v>
      </c>
      <c r="E22" s="20">
        <f>E21+'Sales'!E27</f>
        <v>11893</v>
      </c>
      <c r="F22" s="37">
        <f>B22+D22+#REF!</f>
      </c>
      <c r="G22" s="20">
        <v>10927</v>
      </c>
      <c r="H22" s="20">
        <v>6855</v>
      </c>
      <c r="I22" s="20">
        <f>G22+H22-B22-D22</f>
        <v>0</v>
      </c>
      <c r="J22" s="20">
        <f>B22-G22</f>
        <v>-9882</v>
      </c>
      <c r="K22" s="20"/>
    </row>
    <row r="23" ht="20.9" customHeight="1">
      <c r="A23" s="36">
        <v>2021</v>
      </c>
      <c r="B23" s="19">
        <v>1224</v>
      </c>
      <c r="C23" s="20">
        <v>18538</v>
      </c>
      <c r="D23" s="20">
        <f>C23-B23</f>
        <v>17314</v>
      </c>
      <c r="E23" s="20">
        <f>33+11973</f>
        <v>12006</v>
      </c>
      <c r="F23" s="37">
        <f>B23+D23+#REF!</f>
      </c>
      <c r="G23" s="20">
        <v>11374</v>
      </c>
      <c r="H23" s="20">
        <v>7164</v>
      </c>
      <c r="I23" s="20">
        <f>G23+H23-B23-D23</f>
        <v>0</v>
      </c>
      <c r="J23" s="20">
        <f>B23-G23</f>
        <v>-10150</v>
      </c>
      <c r="K23" s="20"/>
    </row>
    <row r="24" ht="20.9" customHeight="1">
      <c r="A24" s="34"/>
      <c r="B24" s="19">
        <v>1393</v>
      </c>
      <c r="C24" s="20">
        <v>18890</v>
      </c>
      <c r="D24" s="20">
        <f>C24-B24</f>
        <v>17497</v>
      </c>
      <c r="E24" s="20">
        <f>36+12126</f>
        <v>12162</v>
      </c>
      <c r="F24" s="37">
        <f>B24+D24+#REF!</f>
      </c>
      <c r="G24" s="20">
        <v>11750</v>
      </c>
      <c r="H24" s="20">
        <v>7140</v>
      </c>
      <c r="I24" s="20">
        <f>G24+H24-B24-D24</f>
        <v>0</v>
      </c>
      <c r="J24" s="20">
        <f>B24-G24</f>
        <v>-10357</v>
      </c>
      <c r="K24" s="20"/>
    </row>
    <row r="25" ht="20.9" customHeight="1">
      <c r="A25" s="34"/>
      <c r="B25" s="19">
        <v>816</v>
      </c>
      <c r="C25" s="20">
        <v>19275</v>
      </c>
      <c r="D25" s="20">
        <f>C25-B25</f>
        <v>18459</v>
      </c>
      <c r="E25" s="20">
        <f>37+12269</f>
        <v>12306</v>
      </c>
      <c r="F25" s="37">
        <f>B25+D25+#REF!</f>
      </c>
      <c r="G25" s="20">
        <v>12269</v>
      </c>
      <c r="H25" s="20">
        <v>7006</v>
      </c>
      <c r="I25" s="20">
        <f>G25+H25-B25-D25</f>
        <v>0</v>
      </c>
      <c r="J25" s="20">
        <f>B25-G25</f>
        <v>-11453</v>
      </c>
      <c r="K25" s="20">
        <f>J25</f>
        <v>-11453</v>
      </c>
    </row>
    <row r="26" ht="20.9" customHeight="1">
      <c r="A26" s="34"/>
      <c r="B26" s="19"/>
      <c r="C26" s="20"/>
      <c r="D26" s="20"/>
      <c r="E26" s="20"/>
      <c r="F26" s="37">
        <f>B26+D26+#REF!</f>
      </c>
      <c r="G26" s="20"/>
      <c r="H26" s="20"/>
      <c r="I26" s="20"/>
      <c r="J26" s="20"/>
      <c r="K26" s="20">
        <f>'Model'!F31</f>
        <v>-10587.3717126256</v>
      </c>
    </row>
  </sheetData>
  <mergeCells count="1">
    <mergeCell ref="A1:K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98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9" customWidth="1"/>
    <col min="2" max="3" width="11.8516" style="49" customWidth="1"/>
    <col min="4" max="16384" width="8.35156" style="49" customWidth="1"/>
  </cols>
  <sheetData>
    <row r="1" ht="27.65" customHeight="1">
      <c r="A1" t="s" s="2">
        <v>59</v>
      </c>
      <c r="B1" s="2"/>
      <c r="C1" s="2"/>
    </row>
    <row r="2" ht="20.25" customHeight="1">
      <c r="A2" s="50"/>
      <c r="B2" t="s" s="51">
        <v>60</v>
      </c>
      <c r="C2" t="s" s="51">
        <v>38</v>
      </c>
    </row>
    <row r="3" ht="20.25" customHeight="1">
      <c r="A3" s="52">
        <v>2014</v>
      </c>
      <c r="B3" s="53">
        <v>1885</v>
      </c>
      <c r="C3" s="54"/>
    </row>
    <row r="4" ht="20.05" customHeight="1">
      <c r="A4" s="55"/>
      <c r="B4" s="56">
        <v>2190</v>
      </c>
      <c r="C4" s="57"/>
    </row>
    <row r="5" ht="20.05" customHeight="1">
      <c r="A5" s="55"/>
      <c r="B5" s="56">
        <v>2125</v>
      </c>
      <c r="C5" s="57"/>
    </row>
    <row r="6" ht="20.05" customHeight="1">
      <c r="A6" s="55"/>
      <c r="B6" s="56">
        <v>1915</v>
      </c>
      <c r="C6" s="57"/>
    </row>
    <row r="7" ht="20.05" customHeight="1">
      <c r="A7" s="55"/>
      <c r="B7" s="56">
        <v>1755</v>
      </c>
      <c r="C7" s="57"/>
    </row>
    <row r="8" ht="20.05" customHeight="1">
      <c r="A8" s="55"/>
      <c r="B8" s="56">
        <v>1830</v>
      </c>
      <c r="C8" s="57"/>
    </row>
    <row r="9" ht="20.05" customHeight="1">
      <c r="A9" s="55"/>
      <c r="B9" s="56">
        <v>1815</v>
      </c>
      <c r="C9" s="57"/>
    </row>
    <row r="10" ht="20.05" customHeight="1">
      <c r="A10" s="55"/>
      <c r="B10" s="56">
        <v>1770</v>
      </c>
      <c r="C10" s="57"/>
    </row>
    <row r="11" ht="20.05" customHeight="1">
      <c r="A11" s="55"/>
      <c r="B11" s="56">
        <v>1550</v>
      </c>
      <c r="C11" s="57"/>
    </row>
    <row r="12" ht="20.05" customHeight="1">
      <c r="A12" s="55"/>
      <c r="B12" s="56">
        <v>1440</v>
      </c>
      <c r="C12" s="57"/>
    </row>
    <row r="13" ht="20.05" customHeight="1">
      <c r="A13" s="55"/>
      <c r="B13" s="56">
        <v>1305</v>
      </c>
      <c r="C13" s="57"/>
    </row>
    <row r="14" ht="20.05" customHeight="1">
      <c r="A14" s="55"/>
      <c r="B14" s="56">
        <v>1425</v>
      </c>
      <c r="C14" s="57"/>
    </row>
    <row r="15" ht="20.05" customHeight="1">
      <c r="A15" s="58">
        <v>2015</v>
      </c>
      <c r="B15" s="56">
        <v>1460</v>
      </c>
      <c r="C15" s="57"/>
    </row>
    <row r="16" ht="20.05" customHeight="1">
      <c r="A16" s="55"/>
      <c r="B16" s="56">
        <v>1400</v>
      </c>
      <c r="C16" s="57"/>
    </row>
    <row r="17" ht="20.05" customHeight="1">
      <c r="A17" s="55"/>
      <c r="B17" s="56">
        <v>1325</v>
      </c>
      <c r="C17" s="57"/>
    </row>
    <row r="18" ht="20.05" customHeight="1">
      <c r="A18" s="55"/>
      <c r="B18" s="56">
        <v>1100</v>
      </c>
      <c r="C18" s="57"/>
    </row>
    <row r="19" ht="20.05" customHeight="1">
      <c r="A19" s="55"/>
      <c r="B19" s="56">
        <v>1010</v>
      </c>
      <c r="C19" s="57"/>
    </row>
    <row r="20" ht="20.05" customHeight="1">
      <c r="A20" s="55"/>
      <c r="B20" s="56">
        <v>855</v>
      </c>
      <c r="C20" s="57"/>
    </row>
    <row r="21" ht="20.05" customHeight="1">
      <c r="A21" s="55"/>
      <c r="B21" s="56">
        <v>750</v>
      </c>
      <c r="C21" s="57"/>
    </row>
    <row r="22" ht="20.05" customHeight="1">
      <c r="A22" s="55"/>
      <c r="B22" s="56">
        <v>500</v>
      </c>
      <c r="C22" s="57"/>
    </row>
    <row r="23" ht="20.05" customHeight="1">
      <c r="A23" s="55"/>
      <c r="B23" s="56">
        <v>525</v>
      </c>
      <c r="C23" s="57"/>
    </row>
    <row r="24" ht="20.05" customHeight="1">
      <c r="A24" s="55"/>
      <c r="B24" s="56">
        <v>590</v>
      </c>
      <c r="C24" s="57"/>
    </row>
    <row r="25" ht="20.05" customHeight="1">
      <c r="A25" s="55"/>
      <c r="B25" s="56">
        <v>535</v>
      </c>
      <c r="C25" s="57"/>
    </row>
    <row r="26" ht="20.05" customHeight="1">
      <c r="A26" s="55"/>
      <c r="B26" s="56">
        <v>530</v>
      </c>
      <c r="C26" s="57"/>
    </row>
    <row r="27" ht="20.05" customHeight="1">
      <c r="A27" s="58">
        <v>2016</v>
      </c>
      <c r="B27" s="59">
        <v>505</v>
      </c>
      <c r="C27" s="57"/>
    </row>
    <row r="28" ht="20.05" customHeight="1">
      <c r="A28" s="55"/>
      <c r="B28" s="59">
        <v>483</v>
      </c>
      <c r="C28" s="57"/>
    </row>
    <row r="29" ht="20.05" customHeight="1">
      <c r="A29" s="55"/>
      <c r="B29" s="59">
        <v>735</v>
      </c>
      <c r="C29" s="57"/>
    </row>
    <row r="30" ht="20.05" customHeight="1">
      <c r="A30" s="55"/>
      <c r="B30" s="59">
        <v>795</v>
      </c>
      <c r="C30" s="57"/>
    </row>
    <row r="31" ht="20.05" customHeight="1">
      <c r="A31" s="55"/>
      <c r="B31" s="59">
        <v>710</v>
      </c>
      <c r="C31" s="57"/>
    </row>
    <row r="32" ht="20.05" customHeight="1">
      <c r="A32" s="55"/>
      <c r="B32" s="59">
        <v>975</v>
      </c>
      <c r="C32" s="57"/>
    </row>
    <row r="33" ht="20.05" customHeight="1">
      <c r="A33" s="55"/>
      <c r="B33" s="56">
        <v>1615</v>
      </c>
      <c r="C33" s="57"/>
    </row>
    <row r="34" ht="20.05" customHeight="1">
      <c r="A34" s="55"/>
      <c r="B34" s="56">
        <v>1510</v>
      </c>
      <c r="C34" s="57"/>
    </row>
    <row r="35" ht="20.05" customHeight="1">
      <c r="A35" s="55"/>
      <c r="B35" s="56">
        <v>1500</v>
      </c>
      <c r="C35" s="57"/>
    </row>
    <row r="36" ht="20.05" customHeight="1">
      <c r="A36" s="55"/>
      <c r="B36" s="56">
        <v>1250</v>
      </c>
      <c r="C36" s="57"/>
    </row>
    <row r="37" ht="20.05" customHeight="1">
      <c r="A37" s="55"/>
      <c r="B37" s="56">
        <v>1005</v>
      </c>
      <c r="C37" s="57"/>
    </row>
    <row r="38" ht="20.05" customHeight="1">
      <c r="A38" s="55"/>
      <c r="B38" s="56">
        <v>1070</v>
      </c>
      <c r="C38" s="57"/>
    </row>
    <row r="39" ht="20.05" customHeight="1">
      <c r="A39" s="58">
        <v>2017</v>
      </c>
      <c r="B39" s="56">
        <v>1150</v>
      </c>
      <c r="C39" s="57"/>
    </row>
    <row r="40" ht="20.05" customHeight="1">
      <c r="A40" s="55"/>
      <c r="B40" s="56">
        <v>1265</v>
      </c>
      <c r="C40" s="57"/>
    </row>
    <row r="41" ht="20.05" customHeight="1">
      <c r="A41" s="55"/>
      <c r="B41" s="56">
        <v>1130</v>
      </c>
      <c r="C41" s="57"/>
    </row>
    <row r="42" ht="20.05" customHeight="1">
      <c r="A42" s="55"/>
      <c r="B42" s="56">
        <v>1035</v>
      </c>
      <c r="C42" s="57"/>
    </row>
    <row r="43" ht="20.05" customHeight="1">
      <c r="A43" s="55"/>
      <c r="B43" s="59">
        <v>995</v>
      </c>
      <c r="C43" s="57"/>
    </row>
    <row r="44" ht="20.05" customHeight="1">
      <c r="A44" s="55"/>
      <c r="B44" s="56">
        <v>1130</v>
      </c>
      <c r="C44" s="57"/>
    </row>
    <row r="45" ht="20.05" customHeight="1">
      <c r="A45" s="55"/>
      <c r="B45" s="59">
        <v>960</v>
      </c>
      <c r="C45" s="57"/>
    </row>
    <row r="46" ht="20.05" customHeight="1">
      <c r="A46" s="55"/>
      <c r="B46" s="59">
        <v>805</v>
      </c>
      <c r="C46" s="57"/>
    </row>
    <row r="47" ht="20.05" customHeight="1">
      <c r="A47" s="55"/>
      <c r="B47" s="59">
        <v>685</v>
      </c>
      <c r="C47" s="57"/>
    </row>
    <row r="48" ht="20.05" customHeight="1">
      <c r="A48" s="55"/>
      <c r="B48" s="59">
        <v>695</v>
      </c>
      <c r="C48" s="57"/>
    </row>
    <row r="49" ht="20.05" customHeight="1">
      <c r="A49" s="55"/>
      <c r="B49" s="59">
        <v>715</v>
      </c>
      <c r="C49" s="57"/>
    </row>
    <row r="50" ht="20.05" customHeight="1">
      <c r="A50" s="55"/>
      <c r="B50" s="59">
        <v>680</v>
      </c>
      <c r="C50" s="57"/>
    </row>
    <row r="51" ht="20.05" customHeight="1">
      <c r="A51" s="58">
        <v>2018</v>
      </c>
      <c r="B51" s="59">
        <v>850</v>
      </c>
      <c r="C51" s="57"/>
    </row>
    <row r="52" ht="20.05" customHeight="1">
      <c r="A52" s="55"/>
      <c r="B52" s="59">
        <v>830</v>
      </c>
      <c r="C52" s="57"/>
    </row>
    <row r="53" ht="20.05" customHeight="1">
      <c r="A53" s="55"/>
      <c r="B53" s="59">
        <v>810</v>
      </c>
      <c r="C53" s="57"/>
    </row>
    <row r="54" ht="20.05" customHeight="1">
      <c r="A54" s="55"/>
      <c r="B54" s="59">
        <v>815</v>
      </c>
      <c r="C54" s="57"/>
    </row>
    <row r="55" ht="20.05" customHeight="1">
      <c r="A55" s="55"/>
      <c r="B55" s="59">
        <v>815</v>
      </c>
      <c r="C55" s="57"/>
    </row>
    <row r="56" ht="20.05" customHeight="1">
      <c r="A56" s="55"/>
      <c r="B56" s="59">
        <v>690</v>
      </c>
      <c r="C56" s="57"/>
    </row>
    <row r="57" ht="20.05" customHeight="1">
      <c r="A57" s="55"/>
      <c r="B57" s="59">
        <v>665</v>
      </c>
      <c r="C57" s="57"/>
    </row>
    <row r="58" ht="20.05" customHeight="1">
      <c r="A58" s="55"/>
      <c r="B58" s="59">
        <v>635</v>
      </c>
      <c r="C58" s="57"/>
    </row>
    <row r="59" ht="20.05" customHeight="1">
      <c r="A59" s="55"/>
      <c r="B59" s="59">
        <v>630</v>
      </c>
      <c r="C59" s="57"/>
    </row>
    <row r="60" ht="20.05" customHeight="1">
      <c r="A60" s="55"/>
      <c r="B60" s="59">
        <v>620</v>
      </c>
      <c r="C60" s="57"/>
    </row>
    <row r="61" ht="20.05" customHeight="1">
      <c r="A61" s="55"/>
      <c r="B61" s="59">
        <v>640</v>
      </c>
      <c r="C61" s="57"/>
    </row>
    <row r="62" ht="20.05" customHeight="1">
      <c r="A62" s="55"/>
      <c r="B62" s="59">
        <v>650</v>
      </c>
      <c r="C62" s="57"/>
    </row>
    <row r="63" ht="20.05" customHeight="1">
      <c r="A63" s="58">
        <v>2019</v>
      </c>
      <c r="B63" s="59">
        <v>800</v>
      </c>
      <c r="C63" s="57"/>
    </row>
    <row r="64" ht="20.05" customHeight="1">
      <c r="A64" s="55"/>
      <c r="B64" s="59">
        <v>775</v>
      </c>
      <c r="C64" s="57"/>
    </row>
    <row r="65" ht="20.05" customHeight="1">
      <c r="A65" s="55"/>
      <c r="B65" s="59">
        <v>695</v>
      </c>
      <c r="C65" s="57"/>
    </row>
    <row r="66" ht="20.05" customHeight="1">
      <c r="A66" s="55"/>
      <c r="B66" s="59">
        <v>740</v>
      </c>
      <c r="C66" s="57"/>
    </row>
    <row r="67" ht="20.05" customHeight="1">
      <c r="A67" s="55"/>
      <c r="B67" s="59">
        <v>665</v>
      </c>
      <c r="C67" s="57"/>
    </row>
    <row r="68" ht="20.05" customHeight="1">
      <c r="A68" s="55"/>
      <c r="B68" s="59">
        <v>715</v>
      </c>
      <c r="C68" s="57"/>
    </row>
    <row r="69" ht="20.05" customHeight="1">
      <c r="A69" s="55"/>
      <c r="B69" s="59">
        <v>690</v>
      </c>
      <c r="C69" s="57"/>
    </row>
    <row r="70" ht="20.05" customHeight="1">
      <c r="A70" s="55"/>
      <c r="B70" s="59">
        <v>680</v>
      </c>
      <c r="C70" s="57"/>
    </row>
    <row r="71" ht="20.05" customHeight="1">
      <c r="A71" s="55"/>
      <c r="B71" s="59">
        <v>630</v>
      </c>
      <c r="C71" s="57"/>
    </row>
    <row r="72" ht="20.05" customHeight="1">
      <c r="A72" s="55"/>
      <c r="B72" s="59">
        <v>640</v>
      </c>
      <c r="C72" s="57"/>
    </row>
    <row r="73" ht="20.05" customHeight="1">
      <c r="A73" s="55"/>
      <c r="B73" s="56">
        <v>585</v>
      </c>
      <c r="C73" s="57"/>
    </row>
    <row r="74" ht="20.05" customHeight="1">
      <c r="A74" s="55"/>
      <c r="B74" s="56">
        <v>585</v>
      </c>
      <c r="C74" s="57"/>
    </row>
    <row r="75" ht="20.05" customHeight="1">
      <c r="A75" s="58">
        <v>2020</v>
      </c>
      <c r="B75" s="56">
        <v>494</v>
      </c>
      <c r="C75" s="57"/>
    </row>
    <row r="76" ht="20.05" customHeight="1">
      <c r="A76" s="55"/>
      <c r="B76" s="59">
        <v>392</v>
      </c>
      <c r="C76" s="57"/>
    </row>
    <row r="77" ht="20.05" customHeight="1">
      <c r="A77" s="55"/>
      <c r="B77" s="59">
        <v>296</v>
      </c>
      <c r="C77" s="57"/>
    </row>
    <row r="78" ht="20.05" customHeight="1">
      <c r="A78" s="55"/>
      <c r="B78" s="59">
        <v>338</v>
      </c>
      <c r="C78" s="57"/>
    </row>
    <row r="79" ht="20.05" customHeight="1">
      <c r="A79" s="55"/>
      <c r="B79" s="59">
        <v>354</v>
      </c>
      <c r="C79" s="57"/>
    </row>
    <row r="80" ht="20.05" customHeight="1">
      <c r="A80" s="55"/>
      <c r="B80" s="59">
        <v>384</v>
      </c>
      <c r="C80" s="57"/>
    </row>
    <row r="81" ht="20.05" customHeight="1">
      <c r="A81" s="55"/>
      <c r="B81" s="59">
        <v>540</v>
      </c>
      <c r="C81" s="57"/>
    </row>
    <row r="82" ht="20.05" customHeight="1">
      <c r="A82" s="55"/>
      <c r="B82" s="56">
        <v>540</v>
      </c>
      <c r="C82" s="57"/>
    </row>
    <row r="83" ht="20.05" customHeight="1">
      <c r="A83" s="55"/>
      <c r="B83" s="56">
        <v>440</v>
      </c>
      <c r="C83" s="57"/>
    </row>
    <row r="84" ht="20.05" customHeight="1">
      <c r="A84" s="55"/>
      <c r="B84" s="56">
        <v>456</v>
      </c>
      <c r="C84" s="57"/>
    </row>
    <row r="85" ht="20.05" customHeight="1">
      <c r="A85" s="55"/>
      <c r="B85" s="56">
        <v>515</v>
      </c>
      <c r="C85" s="57"/>
    </row>
    <row r="86" ht="20.05" customHeight="1">
      <c r="A86" s="55"/>
      <c r="B86" s="56">
        <v>655</v>
      </c>
      <c r="C86" s="57"/>
    </row>
    <row r="87" ht="20.05" customHeight="1">
      <c r="A87" s="58">
        <v>2021</v>
      </c>
      <c r="B87" s="56">
        <v>700</v>
      </c>
      <c r="C87" s="57"/>
    </row>
    <row r="88" ht="20.05" customHeight="1">
      <c r="A88" s="55"/>
      <c r="B88" s="56">
        <v>855</v>
      </c>
      <c r="C88" s="57"/>
    </row>
    <row r="89" ht="20.05" customHeight="1">
      <c r="A89" s="55"/>
      <c r="B89" s="56">
        <v>880</v>
      </c>
      <c r="C89" s="57"/>
    </row>
    <row r="90" ht="20.05" customHeight="1">
      <c r="A90" s="55"/>
      <c r="B90" s="56">
        <v>905</v>
      </c>
      <c r="C90" s="57"/>
    </row>
    <row r="91" ht="20.05" customHeight="1">
      <c r="A91" s="55"/>
      <c r="B91" s="56">
        <v>885</v>
      </c>
      <c r="C91" s="57"/>
    </row>
    <row r="92" ht="20.05" customHeight="1">
      <c r="A92" s="55"/>
      <c r="B92" s="56">
        <v>760</v>
      </c>
      <c r="C92" s="57"/>
    </row>
    <row r="93" ht="20.05" customHeight="1">
      <c r="A93" s="55"/>
      <c r="B93" s="56">
        <v>780</v>
      </c>
      <c r="C93" s="57"/>
    </row>
    <row r="94" ht="20.05" customHeight="1">
      <c r="A94" s="55"/>
      <c r="B94" s="56">
        <v>770</v>
      </c>
      <c r="C94" s="57"/>
    </row>
    <row r="95" ht="20.05" customHeight="1">
      <c r="A95" s="55"/>
      <c r="B95" s="56">
        <v>715</v>
      </c>
      <c r="C95" s="57"/>
    </row>
    <row r="96" ht="20.05" customHeight="1">
      <c r="A96" s="55"/>
      <c r="B96" s="56">
        <v>730</v>
      </c>
      <c r="C96" s="57"/>
    </row>
    <row r="97" ht="20.05" customHeight="1">
      <c r="A97" s="55"/>
      <c r="B97" s="56">
        <v>720</v>
      </c>
      <c r="C97" s="60">
        <f>B97</f>
        <v>720</v>
      </c>
    </row>
    <row r="98" ht="20.05" customHeight="1">
      <c r="A98" s="55"/>
      <c r="B98" s="56"/>
      <c r="C98" s="61">
        <f>'Model'!F43</f>
        <v>2615.717646294050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