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<sst xmlns="http://schemas.openxmlformats.org/spreadsheetml/2006/main" uniqueCount="62">
  <si>
    <t>Financial model</t>
  </si>
  <si>
    <t>$m</t>
  </si>
  <si>
    <t>4Q 2021</t>
  </si>
  <si>
    <t xml:space="preserve">Cashflow 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</si>
  <si>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</si>
  <si>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</si>
  <si>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</si>
  <si>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</si>
  <si>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</si>
  <si>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</si>
  <si>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</si>
  <si>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</si>
  <si>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</si>
  <si>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Equity </t>
  </si>
  <si>
    <t xml:space="preserve">Revolver </t>
  </si>
  <si>
    <t xml:space="preserve">Before revolver </t>
  </si>
  <si>
    <t>Beginning</t>
  </si>
  <si>
    <t xml:space="preserve">Change </t>
  </si>
  <si>
    <t xml:space="preserve">Ending </t>
  </si>
  <si>
    <t xml:space="preserve">Profit </t>
  </si>
  <si>
    <t xml:space="preserve">Non cash costs </t>
  </si>
  <si>
    <t xml:space="preserve">Net profit </t>
  </si>
  <si>
    <t>Balance sheet</t>
  </si>
  <si>
    <t xml:space="preserve">Other assets </t>
  </si>
  <si>
    <t xml:space="preserve">Depreciation </t>
  </si>
  <si>
    <t xml:space="preserve">Net other assets </t>
  </si>
  <si>
    <t>Revolver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</si>
  <si>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</si>
  <si>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</si>
  <si>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</si>
  <si>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</si>
  <si>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</si>
  <si>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</si>
  <si>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</si>
  <si>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</si>
  <si>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</si>
  <si>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Sales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</si>
  <si>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</si>
  <si>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</si>
  <si>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</si>
  <si>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</si>
  <si>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</si>
  <si>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</si>
  <si>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</si>
  <si>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</si>
  <si>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FX gain (loss)</t>
  </si>
  <si>
    <t xml:space="preserve">Sales growth </t>
  </si>
  <si>
    <t xml:space="preserve">Cost ratio </t>
  </si>
  <si>
    <t xml:space="preserve">Cashflow costs </t>
  </si>
  <si>
    <t>Cashflow</t>
  </si>
  <si>
    <t xml:space="preserve">Receipts </t>
  </si>
  <si>
    <t>Operating</t>
  </si>
  <si>
    <t>Finance</t>
  </si>
  <si>
    <t xml:space="preserve">Free cashflow </t>
  </si>
  <si>
    <t>Assets (restated)</t>
  </si>
  <si>
    <t>Cash</t>
  </si>
  <si>
    <t xml:space="preserve">Assets </t>
  </si>
  <si>
    <t>Other assets</t>
  </si>
  <si>
    <t>Check</t>
  </si>
  <si>
    <t>Share price</t>
  </si>
  <si>
    <t>GIAA</t>
  </si>
  <si>
    <t>Target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</si>
</sst>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.0"/>
    <numFmt numFmtId="60" formatCode="0_);[Red]\(0\)"/>
    <numFmt numFmtId="61" formatCode="#,##0%"/>
    <numFmt numFmtId="62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38" fontId="0" fillId="5" borderId="6" applyNumberFormat="1" applyFont="1" applyFill="1" applyBorder="1" applyAlignment="1" applyProtection="0">
      <alignment vertical="top" wrapText="1"/>
    </xf>
    <xf numFmtId="38" fontId="0" fillId="5" borderId="7" applyNumberFormat="1" applyFont="1" applyFill="1" applyBorder="1" applyAlignment="1" applyProtection="0">
      <alignment vertical="top" wrapText="1"/>
    </xf>
    <xf numFmtId="3" fontId="0" fillId="5" borderId="7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fillId="5" borderId="6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2" fillId="2" borderId="1" applyNumberFormat="0" applyFont="1" applyFill="1" applyBorder="1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0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0" fontId="0" borderId="6" applyNumberFormat="1" applyFont="1" applyFill="0" applyBorder="1" applyAlignment="1" applyProtection="0">
      <alignment horizontal="right" vertical="top"/>
    </xf>
    <xf numFmtId="0" fontId="0" borderId="7" applyNumberFormat="1" applyFont="1" applyFill="0" applyBorder="1" applyAlignment="1" applyProtection="0">
      <alignment vertical="top"/>
    </xf>
    <xf numFmtId="0" fontId="0" borderId="6" applyNumberFormat="0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851718</xdr:colOff>
      <xdr:row>1</xdr:row>
      <xdr:rowOff>289714</xdr:rowOff>
    </xdr:from>
    <xdr:to>
      <xdr:col>13</xdr:col>
      <xdr:colOff>1230750</xdr:colOff>
      <xdr:row>49</xdr:row>
      <xdr:rowOff>197791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33218" y="922809"/>
          <a:ext cx="9091233" cy="122321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91406" style="1" customWidth="1"/>
    <col min="2" max="2" width="14.2656" style="1" customWidth="1"/>
    <col min="3" max="6" width="8.40625" style="1" customWidth="1"/>
    <col min="7" max="16384" width="16.3516" style="1" customWidth="1"/>
  </cols>
  <sheetData>
    <row r="1" ht="49.8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6"/>
      <c r="F3" s="5"/>
    </row>
    <row r="4" ht="20.25" customHeight="1">
      <c r="B4" t="s" s="7">
        <v>3</v>
      </c>
      <c r="C4" s="8">
        <f>AVERAGE('Sales'!I27:I30)</f>
        <v>0.0727329748240204</v>
      </c>
      <c r="D4" s="9"/>
      <c r="E4" s="9"/>
      <c r="F4" s="10">
        <f>AVERAGE(C5:F5)</f>
        <v>0.2875</v>
      </c>
    </row>
    <row r="5" ht="20.05" customHeight="1">
      <c r="B5" t="s" s="11">
        <v>4</v>
      </c>
      <c r="C5" s="12">
        <v>0.75</v>
      </c>
      <c r="D5" s="13">
        <v>0.1</v>
      </c>
      <c r="E5" s="13">
        <v>0.15</v>
      </c>
      <c r="F5" s="13">
        <v>0.15</v>
      </c>
    </row>
    <row r="6" ht="20.05" customHeight="1">
      <c r="B6" t="s" s="11">
        <v>5</v>
      </c>
      <c r="C6" s="14">
        <f>'Sales'!C30*(1+C5)</f>
        <v>423.85</v>
      </c>
      <c r="D6" s="15">
        <f>C6*(1+D5)</f>
        <v>466.235</v>
      </c>
      <c r="E6" s="15">
        <f>D6*(1+E5)</f>
        <v>536.17025</v>
      </c>
      <c r="F6" s="15">
        <f>E6*(1+F5)</f>
        <v>616.5957875</v>
      </c>
    </row>
    <row r="7" ht="20.05" customHeight="1">
      <c r="B7" t="s" s="11">
        <v>6</v>
      </c>
      <c r="C7" s="12">
        <f>'Sales'!K30</f>
        <v>-0.961487236444842</v>
      </c>
      <c r="D7" s="13">
        <f>C7</f>
        <v>-0.961487236444842</v>
      </c>
      <c r="E7" s="13">
        <f>D7</f>
        <v>-0.961487236444842</v>
      </c>
      <c r="F7" s="13">
        <f>E7</f>
        <v>-0.961487236444842</v>
      </c>
    </row>
    <row r="8" ht="20.05" customHeight="1">
      <c r="B8" t="s" s="11">
        <v>7</v>
      </c>
      <c r="C8" s="16">
        <f>C6*C7</f>
        <v>-407.526365167146</v>
      </c>
      <c r="D8" s="17">
        <f>D6*D7</f>
        <v>-448.279001683861</v>
      </c>
      <c r="E8" s="17">
        <f>E6*E7</f>
        <v>-515.520851936440</v>
      </c>
      <c r="F8" s="17">
        <f>F6*F7</f>
        <v>-592.848979726906</v>
      </c>
    </row>
    <row r="9" ht="20.05" customHeight="1">
      <c r="B9" t="s" s="11">
        <v>8</v>
      </c>
      <c r="C9" s="16">
        <f>C6+C8</f>
        <v>16.323634832854</v>
      </c>
      <c r="D9" s="17">
        <f>D6+D8</f>
        <v>17.955998316139</v>
      </c>
      <c r="E9" s="17">
        <f>E6+E8</f>
        <v>20.649398063560</v>
      </c>
      <c r="F9" s="17">
        <f>F6+F8</f>
        <v>23.746807773094</v>
      </c>
    </row>
    <row r="10" ht="20.05" customHeight="1">
      <c r="B10" t="s" s="11">
        <v>9</v>
      </c>
      <c r="C10" s="16">
        <f>AVERAGE('Cashflow '!E25)</f>
        <v>-8.619999999999999</v>
      </c>
      <c r="D10" s="17">
        <f>C10</f>
        <v>-8.619999999999999</v>
      </c>
      <c r="E10" s="17">
        <f>D10</f>
        <v>-8.619999999999999</v>
      </c>
      <c r="F10" s="17">
        <f>E10</f>
        <v>-8.619999999999999</v>
      </c>
    </row>
    <row r="11" ht="20.05" customHeight="1">
      <c r="B11" t="s" s="11">
        <v>10</v>
      </c>
      <c r="C11" s="16">
        <f>AVERAGE('Cashflow '!F29)</f>
        <v>-14.6</v>
      </c>
      <c r="D11" s="17">
        <f>C11</f>
        <v>-14.6</v>
      </c>
      <c r="E11" s="17">
        <f>D11</f>
        <v>-14.6</v>
      </c>
      <c r="F11" s="17">
        <f>E11</f>
        <v>-14.6</v>
      </c>
    </row>
    <row r="12" ht="20.05" customHeight="1">
      <c r="B12" t="s" s="11">
        <v>11</v>
      </c>
      <c r="C12" s="16">
        <f>C13+C14+C15</f>
        <v>-7.703634832854</v>
      </c>
      <c r="D12" s="17">
        <f>D13+D14+D15</f>
        <v>-9.335998316138999</v>
      </c>
      <c r="E12" s="17">
        <f>E13+E14+E15</f>
        <v>-12.029398063560</v>
      </c>
      <c r="F12" s="17">
        <f>F13+F14+F15</f>
        <v>-15.126807773094</v>
      </c>
    </row>
    <row r="13" ht="20.05" customHeight="1">
      <c r="B13" t="s" s="11">
        <v>12</v>
      </c>
      <c r="C13" s="16">
        <f>-'Balance sheet'!G30/20</f>
        <v>-651.35</v>
      </c>
      <c r="D13" s="17">
        <f>-C27/20</f>
        <v>-618.7825</v>
      </c>
      <c r="E13" s="17">
        <f>-D27/20</f>
        <v>-587.843375</v>
      </c>
      <c r="F13" s="17">
        <f>-E27/20</f>
        <v>-558.45120625</v>
      </c>
    </row>
    <row r="14" ht="20.05" customHeight="1">
      <c r="B14" t="s" s="11">
        <v>13</v>
      </c>
      <c r="C14" s="16">
        <f>IF(C22&gt;0,-C22*0.3,0)</f>
        <v>0</v>
      </c>
      <c r="D14" s="17">
        <f>IF(D22&gt;0,-D22*0.3,0)</f>
        <v>0</v>
      </c>
      <c r="E14" s="17">
        <f>IF(E22&gt;0,-E22*0.3,0)</f>
        <v>0</v>
      </c>
      <c r="F14" s="17">
        <f>IF(F22&gt;0,-F22*0.3,0)</f>
        <v>0</v>
      </c>
    </row>
    <row r="15" ht="20.05" customHeight="1">
      <c r="B15" t="s" s="11">
        <v>14</v>
      </c>
      <c r="C15" s="16">
        <f>-MIN(0,C16)</f>
        <v>643.646365167146</v>
      </c>
      <c r="D15" s="17">
        <f>-MIN(C28,D16)</f>
        <v>609.446501683861</v>
      </c>
      <c r="E15" s="17">
        <f>-MIN(D28,E16)</f>
        <v>575.813976936440</v>
      </c>
      <c r="F15" s="17">
        <f>-MIN(E28,F16)</f>
        <v>543.324398476906</v>
      </c>
    </row>
    <row r="16" ht="20.05" customHeight="1">
      <c r="B16" t="s" s="11">
        <v>15</v>
      </c>
      <c r="C16" s="16">
        <f>C9+C10+C13+C14</f>
        <v>-643.646365167146</v>
      </c>
      <c r="D16" s="17">
        <f>D9+D10+D13+D14</f>
        <v>-609.446501683861</v>
      </c>
      <c r="E16" s="17">
        <f>E9+E10+E13+E14</f>
        <v>-575.813976936440</v>
      </c>
      <c r="F16" s="17">
        <f>F9+F10+F13+F14</f>
        <v>-543.324398476906</v>
      </c>
    </row>
    <row r="17" ht="20.05" customHeight="1">
      <c r="B17" t="s" s="11">
        <v>16</v>
      </c>
      <c r="C17" s="16">
        <f>'Balance sheet'!C30</f>
        <v>42</v>
      </c>
      <c r="D17" s="17">
        <f>C19</f>
        <v>42</v>
      </c>
      <c r="E17" s="17">
        <f>D19</f>
        <v>42</v>
      </c>
      <c r="F17" s="17">
        <f>E19</f>
        <v>42</v>
      </c>
    </row>
    <row r="18" ht="20.05" customHeight="1">
      <c r="B18" t="s" s="11">
        <v>17</v>
      </c>
      <c r="C18" s="16">
        <f>C9+C10+C12</f>
        <v>0</v>
      </c>
      <c r="D18" s="17">
        <f>D9+D10+D12</f>
        <v>0</v>
      </c>
      <c r="E18" s="17">
        <f>E9+E10+E12</f>
        <v>0</v>
      </c>
      <c r="F18" s="17">
        <f>F9+F10+F12</f>
        <v>0</v>
      </c>
    </row>
    <row r="19" ht="20.05" customHeight="1">
      <c r="B19" t="s" s="11">
        <v>18</v>
      </c>
      <c r="C19" s="16">
        <f>C17+C18</f>
        <v>42</v>
      </c>
      <c r="D19" s="17">
        <f>D17+D18</f>
        <v>42</v>
      </c>
      <c r="E19" s="17">
        <f>E17+E18</f>
        <v>42</v>
      </c>
      <c r="F19" s="17">
        <f>F17+F18</f>
        <v>42</v>
      </c>
    </row>
    <row r="20" ht="20.05" customHeight="1">
      <c r="B20" t="s" s="18">
        <v>19</v>
      </c>
      <c r="C20" s="19"/>
      <c r="D20" s="20"/>
      <c r="E20" s="17"/>
      <c r="F20" s="20"/>
    </row>
    <row r="21" ht="20.05" customHeight="1">
      <c r="B21" t="s" s="11">
        <v>20</v>
      </c>
      <c r="C21" s="16">
        <f>-AVERAGE('Sales'!E30)</f>
        <v>-298.5</v>
      </c>
      <c r="D21" s="17">
        <f>C21</f>
        <v>-298.5</v>
      </c>
      <c r="E21" s="17">
        <f>D21</f>
        <v>-298.5</v>
      </c>
      <c r="F21" s="17">
        <f>E21</f>
        <v>-298.5</v>
      </c>
    </row>
    <row r="22" ht="20.05" customHeight="1">
      <c r="B22" t="s" s="11">
        <v>21</v>
      </c>
      <c r="C22" s="16">
        <f>C6+C8+C21</f>
        <v>-282.176365167146</v>
      </c>
      <c r="D22" s="17">
        <f>D6+D8+D21</f>
        <v>-280.544001683861</v>
      </c>
      <c r="E22" s="17">
        <f>E6+E8+E21</f>
        <v>-277.850601936440</v>
      </c>
      <c r="F22" s="17">
        <f>F6+F8+F21</f>
        <v>-274.753192226906</v>
      </c>
    </row>
    <row r="23" ht="20.05" customHeight="1">
      <c r="B23" t="s" s="18">
        <v>22</v>
      </c>
      <c r="C23" s="19"/>
      <c r="D23" s="20"/>
      <c r="E23" s="17"/>
      <c r="F23" s="17"/>
    </row>
    <row r="24" ht="20.05" customHeight="1">
      <c r="B24" t="s" s="11">
        <v>23</v>
      </c>
      <c r="C24" s="16">
        <f>'Balance sheet'!E30+'Balance sheet'!F30-C10</f>
        <v>12387.62</v>
      </c>
      <c r="D24" s="17">
        <f>C24-D10</f>
        <v>12396.24</v>
      </c>
      <c r="E24" s="17">
        <f>D24-E10</f>
        <v>12404.86</v>
      </c>
      <c r="F24" s="17">
        <f>E24-F10</f>
        <v>12413.48</v>
      </c>
    </row>
    <row r="25" ht="20.05" customHeight="1">
      <c r="B25" t="s" s="11">
        <v>24</v>
      </c>
      <c r="C25" s="16">
        <f>'Balance sheet'!F30-C21</f>
        <v>3297.5</v>
      </c>
      <c r="D25" s="17">
        <f>C25-D21</f>
        <v>3596</v>
      </c>
      <c r="E25" s="17">
        <f>D25-E21</f>
        <v>3894.5</v>
      </c>
      <c r="F25" s="17">
        <f>E25-F21</f>
        <v>4193</v>
      </c>
    </row>
    <row r="26" ht="20.05" customHeight="1">
      <c r="B26" t="s" s="11">
        <v>25</v>
      </c>
      <c r="C26" s="16">
        <f>C24-C25</f>
        <v>9090.120000000001</v>
      </c>
      <c r="D26" s="17">
        <f>D24-D25</f>
        <v>8800.24</v>
      </c>
      <c r="E26" s="17">
        <f>E24-E25</f>
        <v>8510.360000000001</v>
      </c>
      <c r="F26" s="17">
        <f>F24-F25</f>
        <v>8220.48</v>
      </c>
    </row>
    <row r="27" ht="20.05" customHeight="1">
      <c r="B27" t="s" s="11">
        <v>12</v>
      </c>
      <c r="C27" s="16">
        <f>'Balance sheet'!G30+C13</f>
        <v>12375.65</v>
      </c>
      <c r="D27" s="17">
        <f>C27+D13</f>
        <v>11756.8675</v>
      </c>
      <c r="E27" s="17">
        <f>D27+E13</f>
        <v>11169.024125</v>
      </c>
      <c r="F27" s="17">
        <f>E27+F13</f>
        <v>10610.57291875</v>
      </c>
    </row>
    <row r="28" ht="20.05" customHeight="1">
      <c r="B28" t="s" s="11">
        <v>26</v>
      </c>
      <c r="C28" s="16">
        <f>C15</f>
        <v>643.646365167146</v>
      </c>
      <c r="D28" s="17">
        <f>C28+D15</f>
        <v>1253.092866851010</v>
      </c>
      <c r="E28" s="17">
        <f>D28+E15</f>
        <v>1828.906843787450</v>
      </c>
      <c r="F28" s="17">
        <f>E28+F15</f>
        <v>2372.231242264360</v>
      </c>
    </row>
    <row r="29" ht="20.05" customHeight="1">
      <c r="B29" t="s" s="11">
        <v>13</v>
      </c>
      <c r="C29" s="16">
        <f>'Balance sheet'!H30+C22+C14</f>
        <v>-3887.176365167150</v>
      </c>
      <c r="D29" s="17">
        <f>C29+D22+D14</f>
        <v>-4167.720366851010</v>
      </c>
      <c r="E29" s="17">
        <f>D29+E22+E14</f>
        <v>-4445.570968787450</v>
      </c>
      <c r="F29" s="17">
        <f>E29+F22+F14</f>
        <v>-4720.324161014360</v>
      </c>
    </row>
    <row r="30" ht="20.05" customHeight="1">
      <c r="B30" t="s" s="11">
        <v>27</v>
      </c>
      <c r="C30" s="16">
        <f>C27+C28+C29-C19-C26</f>
        <v>-4e-12</v>
      </c>
      <c r="D30" s="17">
        <f>D27+D28+D29-D19-D26</f>
        <v>0</v>
      </c>
      <c r="E30" s="17">
        <f>E27+E28+E29-E19-E26</f>
        <v>0</v>
      </c>
      <c r="F30" s="17">
        <f>F27+F28+F29-F19-F26</f>
        <v>0</v>
      </c>
    </row>
    <row r="31" ht="20.05" customHeight="1">
      <c r="B31" t="s" s="11">
        <v>28</v>
      </c>
      <c r="C31" s="16">
        <f>C19-C27-C28</f>
        <v>-12977.2963651671</v>
      </c>
      <c r="D31" s="17">
        <f>D19-D27-D28</f>
        <v>-12967.960366851</v>
      </c>
      <c r="E31" s="17">
        <f>E19-E27-E28</f>
        <v>-12955.9309687875</v>
      </c>
      <c r="F31" s="17">
        <f>F19-F27-F28</f>
        <v>-12940.8041610144</v>
      </c>
    </row>
    <row r="32" ht="20.05" customHeight="1">
      <c r="B32" t="s" s="11">
        <v>29</v>
      </c>
      <c r="C32" s="16"/>
      <c r="D32" s="17"/>
      <c r="E32" s="17"/>
      <c r="F32" s="17"/>
    </row>
    <row r="33" ht="20.05" customHeight="1">
      <c r="B33" t="s" s="11">
        <v>30</v>
      </c>
      <c r="C33" s="16"/>
      <c r="D33" s="17"/>
      <c r="E33" s="17"/>
      <c r="F33" s="17">
        <v>14</v>
      </c>
    </row>
    <row r="34" ht="20.05" customHeight="1">
      <c r="B34" t="s" s="11">
        <v>31</v>
      </c>
      <c r="C34" s="16">
        <f>'Cashflow '!J30-(C12-C11)</f>
        <v>-815.996365167146</v>
      </c>
      <c r="D34" s="17">
        <f>C34-(D12-D11)</f>
        <v>-821.260366851007</v>
      </c>
      <c r="E34" s="17">
        <f>D34-(E12-E11)</f>
        <v>-823.830968787447</v>
      </c>
      <c r="F34" s="17">
        <f>E34-(F12-F11)</f>
        <v>-823.304161014353</v>
      </c>
    </row>
    <row r="35" ht="20.05" customHeight="1">
      <c r="B35" t="s" s="11">
        <v>32</v>
      </c>
      <c r="C35" s="16"/>
      <c r="D35" s="17"/>
      <c r="E35" s="17"/>
      <c r="F35" s="17">
        <f>5750/F33</f>
        <v>410.714285714286</v>
      </c>
    </row>
    <row r="36" ht="20.05" customHeight="1">
      <c r="B36" t="s" s="11">
        <v>33</v>
      </c>
      <c r="C36" s="16"/>
      <c r="D36" s="17"/>
      <c r="E36" s="17"/>
      <c r="F36" s="21">
        <f>F35/(F19+F26)</f>
        <v>0.0497083545998642</v>
      </c>
    </row>
    <row r="37" ht="20.05" customHeight="1">
      <c r="B37" t="s" s="11">
        <v>34</v>
      </c>
      <c r="C37" s="16"/>
      <c r="D37" s="17"/>
      <c r="E37" s="17"/>
      <c r="F37" s="22">
        <f>-(C14+D14+E14+F14)/F35</f>
        <v>0</v>
      </c>
    </row>
    <row r="38" ht="20.05" customHeight="1">
      <c r="B38" t="s" s="11">
        <v>3</v>
      </c>
      <c r="C38" s="16"/>
      <c r="D38" s="17"/>
      <c r="E38" s="17"/>
      <c r="F38" s="17">
        <f>SUM(C9:F11)</f>
        <v>-14.204161014353</v>
      </c>
    </row>
    <row r="39" ht="20.05" customHeight="1">
      <c r="B39" t="s" s="11">
        <v>35</v>
      </c>
      <c r="C39" s="16"/>
      <c r="D39" s="17"/>
      <c r="E39" s="17"/>
      <c r="F39" s="17">
        <f>'Balance sheet'!E30/F38</f>
        <v>-660.369872639553</v>
      </c>
    </row>
    <row r="40" ht="20.05" customHeight="1">
      <c r="B40" t="s" s="11">
        <v>29</v>
      </c>
      <c r="C40" s="16"/>
      <c r="D40" s="17"/>
      <c r="E40" s="17"/>
      <c r="F40" s="17">
        <f>F35/F38</f>
        <v>-28.9150682887407</v>
      </c>
    </row>
    <row r="41" ht="20.05" customHeight="1">
      <c r="B41" t="s" s="11">
        <v>36</v>
      </c>
      <c r="C41" s="16"/>
      <c r="D41" s="17"/>
      <c r="E41" s="17"/>
      <c r="F41" s="17">
        <f>SUM(C6:F6)</f>
        <v>2042.8510375</v>
      </c>
    </row>
    <row r="42" ht="20.05" customHeight="1">
      <c r="B42" t="s" s="11">
        <v>37</v>
      </c>
      <c r="C42" s="16"/>
      <c r="D42" s="17"/>
      <c r="E42" s="17"/>
      <c r="F42" s="23">
        <v>0.25</v>
      </c>
    </row>
    <row r="43" ht="20.05" customHeight="1">
      <c r="B43" t="s" s="11">
        <v>38</v>
      </c>
      <c r="C43" s="16"/>
      <c r="D43" s="17"/>
      <c r="E43" s="17"/>
      <c r="F43" s="17">
        <f>F41*F42</f>
        <v>510.712759375</v>
      </c>
    </row>
    <row r="44" ht="20.05" customHeight="1">
      <c r="B44" t="s" s="11">
        <v>39</v>
      </c>
      <c r="C44" s="16"/>
      <c r="D44" s="17"/>
      <c r="E44" s="17"/>
      <c r="F44" s="17">
        <f>5750/F46</f>
        <v>25.9009009009009</v>
      </c>
    </row>
    <row r="45" ht="20.05" customHeight="1">
      <c r="B45" t="s" s="11">
        <v>40</v>
      </c>
      <c r="C45" s="16"/>
      <c r="D45" s="17"/>
      <c r="E45" s="17"/>
      <c r="F45" s="17">
        <f>(F43/F44)*F33</f>
        <v>276.051348893478</v>
      </c>
    </row>
    <row r="46" ht="20.05" customHeight="1">
      <c r="B46" t="s" s="11">
        <v>41</v>
      </c>
      <c r="C46" s="16"/>
      <c r="D46" s="17"/>
      <c r="E46" s="17"/>
      <c r="F46" s="17">
        <f>'Share Price '!C27</f>
        <v>222</v>
      </c>
    </row>
    <row r="47" ht="20.05" customHeight="1">
      <c r="B47" t="s" s="11">
        <v>42</v>
      </c>
      <c r="C47" s="16"/>
      <c r="D47" s="17"/>
      <c r="E47" s="17"/>
      <c r="F47" s="22">
        <f>F45/F46-1</f>
        <v>0.243474544565216</v>
      </c>
    </row>
    <row r="48" ht="20.05" customHeight="1">
      <c r="B48" t="s" s="11">
        <v>43</v>
      </c>
      <c r="C48" s="16"/>
      <c r="D48" s="17"/>
      <c r="E48" s="17"/>
      <c r="F48" s="22">
        <f>'Sales'!C30/'Sales'!C26-1</f>
        <v>0.0923687533826448</v>
      </c>
    </row>
    <row r="49" ht="20.05" customHeight="1">
      <c r="B49" t="s" s="11">
        <v>44</v>
      </c>
      <c r="C49" s="16"/>
      <c r="D49" s="17"/>
      <c r="E49" s="17"/>
      <c r="F49" s="22">
        <f>('Sales'!D30+'Sales'!D25+'Sales'!D26+'Sales'!D27+'Sales'!D28+'Sales'!D29)/('Sales'!C24+'Sales'!C25+'Sales'!C26+'Sales'!C27+'Sales'!C28+'Sales'!C30+'Sales'!C29)-1</f>
        <v>0.322564708592111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7031" style="24" customWidth="1"/>
    <col min="2" max="2" width="8.42188" style="24" customWidth="1"/>
    <col min="3" max="12" width="10.3672" style="24" customWidth="1"/>
    <col min="13" max="16384" width="16.3516" style="24" customWidth="1"/>
  </cols>
  <sheetData>
    <row r="1" ht="42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5</v>
      </c>
      <c r="D3" t="s" s="4">
        <v>37</v>
      </c>
      <c r="E3" t="s" s="4">
        <v>24</v>
      </c>
      <c r="F3" t="s" s="4">
        <v>45</v>
      </c>
      <c r="G3" t="s" s="4">
        <v>19</v>
      </c>
      <c r="H3" t="s" s="4">
        <v>19</v>
      </c>
      <c r="I3" t="s" s="4">
        <v>46</v>
      </c>
      <c r="J3" t="s" s="4">
        <v>47</v>
      </c>
      <c r="K3" t="s" s="4">
        <v>48</v>
      </c>
      <c r="L3" t="s" s="4">
        <v>48</v>
      </c>
    </row>
    <row r="4" ht="20.25" customHeight="1">
      <c r="B4" s="25">
        <v>2015</v>
      </c>
      <c r="C4" s="26">
        <v>927.3</v>
      </c>
      <c r="D4" s="27"/>
      <c r="E4" s="28">
        <v>44.2</v>
      </c>
      <c r="F4" s="29">
        <v>0</v>
      </c>
      <c r="G4" s="29">
        <v>12.4</v>
      </c>
      <c r="H4" s="10"/>
      <c r="I4" s="10"/>
      <c r="J4" s="30">
        <f>(E4+G4-F4-C4)/C4</f>
        <v>-0.938962579531975</v>
      </c>
      <c r="K4" s="30"/>
      <c r="L4" s="30">
        <f>('Cashflow '!D4-'Cashflow '!C4)/'Cashflow '!C4</f>
        <v>-1.03026788820596</v>
      </c>
    </row>
    <row r="5" ht="20.05" customHeight="1">
      <c r="B5" s="31"/>
      <c r="C5" s="32">
        <v>912.7</v>
      </c>
      <c r="D5" s="33"/>
      <c r="E5" s="34">
        <v>41</v>
      </c>
      <c r="F5" s="17">
        <v>0</v>
      </c>
      <c r="G5" s="17">
        <v>16.9</v>
      </c>
      <c r="H5" s="33"/>
      <c r="I5" s="13"/>
      <c r="J5" s="22">
        <f>(E5+G5-F5-C5)/C5</f>
        <v>-0.936561849457653</v>
      </c>
      <c r="K5" s="22"/>
      <c r="L5" s="22">
        <f>('Cashflow '!D5-'Cashflow '!C5)/'Cashflow '!C5</f>
        <v>-0.912091270245493</v>
      </c>
    </row>
    <row r="6" ht="20.05" customHeight="1">
      <c r="B6" s="31"/>
      <c r="C6" s="32">
        <v>1006</v>
      </c>
      <c r="D6" s="33"/>
      <c r="E6" s="34">
        <v>46</v>
      </c>
      <c r="F6" s="17">
        <v>0</v>
      </c>
      <c r="G6" s="17">
        <v>22.1</v>
      </c>
      <c r="H6" s="33"/>
      <c r="I6" s="13"/>
      <c r="J6" s="22">
        <f>(E6+G6-F6-C6)/C6</f>
        <v>-0.932306163021869</v>
      </c>
      <c r="K6" s="22"/>
      <c r="L6" s="22">
        <f>('Cashflow '!D6-'Cashflow '!C6)/'Cashflow '!C6</f>
        <v>-1.00420588824354</v>
      </c>
    </row>
    <row r="7" ht="20.05" customHeight="1">
      <c r="B7" s="31"/>
      <c r="C7" s="32">
        <v>969</v>
      </c>
      <c r="D7" s="33"/>
      <c r="E7" s="34">
        <v>44.8</v>
      </c>
      <c r="F7" s="17">
        <v>0</v>
      </c>
      <c r="G7" s="17">
        <v>26.6</v>
      </c>
      <c r="H7" s="33"/>
      <c r="I7" s="13"/>
      <c r="J7" s="22">
        <f>(E7+G7-F7-C7)/C7</f>
        <v>-0.926315789473684</v>
      </c>
      <c r="K7" s="22"/>
      <c r="L7" s="22">
        <f>('Cashflow '!D7-'Cashflow '!C7)/'Cashflow '!C7</f>
        <v>-0.86685369011653</v>
      </c>
    </row>
    <row r="8" ht="20.05" customHeight="1">
      <c r="B8" s="35">
        <v>2016</v>
      </c>
      <c r="C8" s="32">
        <v>856</v>
      </c>
      <c r="D8" s="33"/>
      <c r="E8" s="34">
        <v>40.3</v>
      </c>
      <c r="F8" s="17">
        <v>8</v>
      </c>
      <c r="G8" s="17">
        <v>1</v>
      </c>
      <c r="H8" s="33"/>
      <c r="I8" s="22">
        <f>C8/C7-1</f>
        <v>-0.116615067079463</v>
      </c>
      <c r="J8" s="22">
        <f>(E8+G8-F8-C8)/C8</f>
        <v>-0.9610981308411209</v>
      </c>
      <c r="K8" s="22">
        <f>AVERAGE(L5:L8)</f>
        <v>-0.955012280725413</v>
      </c>
      <c r="L8" s="22">
        <f>('Cashflow '!D8-'Cashflow '!C8)/'Cashflow '!C8</f>
        <v>-1.03689827429609</v>
      </c>
    </row>
    <row r="9" ht="20.05" customHeight="1">
      <c r="B9" s="31"/>
      <c r="C9" s="32">
        <v>908</v>
      </c>
      <c r="D9" s="33"/>
      <c r="E9" s="34">
        <v>40.9</v>
      </c>
      <c r="F9" s="17">
        <v>7</v>
      </c>
      <c r="G9" s="17">
        <v>-64.2</v>
      </c>
      <c r="H9" s="33"/>
      <c r="I9" s="22">
        <f>C9/C8-1</f>
        <v>0.0607476635514019</v>
      </c>
      <c r="J9" s="22">
        <f>(E9+G9-F9-C9)/C9</f>
        <v>-1.03337004405286</v>
      </c>
      <c r="K9" s="22">
        <f>AVERAGE(L6:L9)</f>
        <v>-0.979544750285393</v>
      </c>
      <c r="L9" s="22">
        <f>('Cashflow '!D9-'Cashflow '!C9)/'Cashflow '!C9</f>
        <v>-1.01022114848541</v>
      </c>
    </row>
    <row r="10" ht="20.05" customHeight="1">
      <c r="B10" s="31"/>
      <c r="C10" s="32">
        <v>1101</v>
      </c>
      <c r="D10" s="33"/>
      <c r="E10" s="34">
        <v>44.4</v>
      </c>
      <c r="F10" s="17">
        <v>7</v>
      </c>
      <c r="G10" s="17">
        <v>19.6</v>
      </c>
      <c r="H10" s="33"/>
      <c r="I10" s="22">
        <f>C10/C9-1</f>
        <v>0.212555066079295</v>
      </c>
      <c r="J10" s="22">
        <f>(E10+G10-F10-C10)/C10</f>
        <v>-0.948228882833787</v>
      </c>
      <c r="K10" s="22">
        <f>AVERAGE(L7:L10)</f>
        <v>-0.949426292578575</v>
      </c>
      <c r="L10" s="22">
        <f>('Cashflow '!D10-'Cashflow '!C10)/'Cashflow '!C10</f>
        <v>-0.883732057416268</v>
      </c>
    </row>
    <row r="11" ht="20.05" customHeight="1">
      <c r="B11" s="31"/>
      <c r="C11" s="32">
        <v>999</v>
      </c>
      <c r="D11" s="33"/>
      <c r="E11" s="34">
        <v>38.5</v>
      </c>
      <c r="F11" s="17">
        <v>-3</v>
      </c>
      <c r="G11" s="17">
        <v>53</v>
      </c>
      <c r="H11" s="33"/>
      <c r="I11" s="22">
        <f>C11/C10-1</f>
        <v>-0.0926430517711172</v>
      </c>
      <c r="J11" s="22">
        <f>(E11+G11-F11-C11)/C11</f>
        <v>-0.905405405405405</v>
      </c>
      <c r="K11" s="22">
        <f>AVERAGE(L8:L11)</f>
        <v>-0.974196703767687</v>
      </c>
      <c r="L11" s="22">
        <f>('Cashflow '!D11-'Cashflow '!C11)/'Cashflow '!C11</f>
        <v>-0.965935334872979</v>
      </c>
    </row>
    <row r="12" ht="20.05" customHeight="1">
      <c r="B12" s="35">
        <v>2017</v>
      </c>
      <c r="C12" s="32">
        <v>910.8</v>
      </c>
      <c r="D12" s="33"/>
      <c r="E12" s="34">
        <v>33.6</v>
      </c>
      <c r="F12" s="17">
        <v>-2</v>
      </c>
      <c r="G12" s="17">
        <v>-101.2</v>
      </c>
      <c r="H12" s="33"/>
      <c r="I12" s="22">
        <f>C12/C11-1</f>
        <v>-0.0882882882882883</v>
      </c>
      <c r="J12" s="22">
        <f>(E12+G12-F12-C12)/C12</f>
        <v>-1.07202459376372</v>
      </c>
      <c r="K12" s="22">
        <f>AVERAGE(L9:L12)</f>
        <v>-0.981297462236342</v>
      </c>
      <c r="L12" s="22">
        <f>('Cashflow '!D12-'Cashflow '!C12)/'Cashflow '!C12</f>
        <v>-1.06530130817071</v>
      </c>
    </row>
    <row r="13" ht="20.05" customHeight="1">
      <c r="B13" s="31"/>
      <c r="C13" s="32">
        <v>976.2</v>
      </c>
      <c r="D13" s="33"/>
      <c r="E13" s="34">
        <v>33.6</v>
      </c>
      <c r="F13" s="17">
        <v>-7</v>
      </c>
      <c r="G13" s="17">
        <v>-182.6</v>
      </c>
      <c r="H13" s="33"/>
      <c r="I13" s="22">
        <f>C13/C12-1</f>
        <v>0.07180500658761529</v>
      </c>
      <c r="J13" s="22">
        <f>(E13+G13-F13-C13)/C13</f>
        <v>-1.14546199549273</v>
      </c>
      <c r="K13" s="22">
        <f>AVERAGE(L10:L13)</f>
        <v>-1.00111621006013</v>
      </c>
      <c r="L13" s="22">
        <f>('Cashflow '!D13-'Cashflow '!C13)/'Cashflow '!C13</f>
        <v>-1.08949613978058</v>
      </c>
    </row>
    <row r="14" ht="20.05" customHeight="1">
      <c r="B14" s="31"/>
      <c r="C14" s="32">
        <v>1225</v>
      </c>
      <c r="D14" s="33"/>
      <c r="E14" s="34">
        <v>32.5</v>
      </c>
      <c r="F14" s="17">
        <v>-7</v>
      </c>
      <c r="G14" s="17">
        <v>61.9</v>
      </c>
      <c r="H14" s="33"/>
      <c r="I14" s="22">
        <f>C14/C13-1</f>
        <v>0.254865806187257</v>
      </c>
      <c r="J14" s="22">
        <f>(E14+G14-F14-C14)/C14</f>
        <v>-0.917224489795918</v>
      </c>
      <c r="K14" s="22">
        <f>AVERAGE(L11:L14)</f>
        <v>-1.00251477925812</v>
      </c>
      <c r="L14" s="22">
        <f>('Cashflow '!D14-'Cashflow '!C14)/'Cashflow '!C14</f>
        <v>-0.889326334208224</v>
      </c>
    </row>
    <row r="15" ht="20.05" customHeight="1">
      <c r="B15" s="31"/>
      <c r="C15" s="32">
        <v>1065</v>
      </c>
      <c r="D15" s="33"/>
      <c r="E15" s="34">
        <v>33.3</v>
      </c>
      <c r="F15" s="17">
        <v>1</v>
      </c>
      <c r="G15" s="17">
        <v>8.5</v>
      </c>
      <c r="H15" s="33"/>
      <c r="I15" s="22">
        <f>C15/C14-1</f>
        <v>-0.130612244897959</v>
      </c>
      <c r="J15" s="22">
        <f>(E15+G15-F15-C15)/C15</f>
        <v>-0.96169014084507</v>
      </c>
      <c r="K15" s="22">
        <f>AVERAGE(L12:L15)</f>
        <v>-1.02037317623578</v>
      </c>
      <c r="L15" s="22">
        <f>('Cashflow '!D15-'Cashflow '!C15)/'Cashflow '!C15</f>
        <v>-1.0373689227836</v>
      </c>
    </row>
    <row r="16" ht="20.05" customHeight="1">
      <c r="B16" s="35">
        <v>2018</v>
      </c>
      <c r="C16" s="32">
        <v>983</v>
      </c>
      <c r="D16" s="33"/>
      <c r="E16" s="34">
        <v>37.4</v>
      </c>
      <c r="F16" s="17">
        <v>10</v>
      </c>
      <c r="G16" s="17">
        <v>-64.3</v>
      </c>
      <c r="H16" s="17">
        <f>AVERAGE(G13:G16)</f>
        <v>-44.125</v>
      </c>
      <c r="I16" s="22">
        <f>C16/C15-1</f>
        <v>-0.0769953051643192</v>
      </c>
      <c r="J16" s="22">
        <f>(E16+G16-F16-C16)/C16</f>
        <v>-1.03753814852492</v>
      </c>
      <c r="K16" s="22">
        <f>AVERAGE(L13:L16)</f>
        <v>-1.01315463562025</v>
      </c>
      <c r="L16" s="22">
        <f>('Cashflow '!D16-'Cashflow '!C16)/'Cashflow '!C16</f>
        <v>-1.03642714570858</v>
      </c>
    </row>
    <row r="17" ht="20.05" customHeight="1">
      <c r="B17" s="31"/>
      <c r="C17" s="32">
        <v>1016</v>
      </c>
      <c r="D17" s="33"/>
      <c r="E17" s="34">
        <v>40.8</v>
      </c>
      <c r="F17" s="17">
        <v>21</v>
      </c>
      <c r="G17" s="17">
        <v>-49.7</v>
      </c>
      <c r="H17" s="17">
        <f>AVERAGE(G14:G17)</f>
        <v>-10.9</v>
      </c>
      <c r="I17" s="22">
        <f>C17/C16-1</f>
        <v>0.0335707019328586</v>
      </c>
      <c r="J17" s="22">
        <f>(E17+G17-F17-C17)/C17</f>
        <v>-1.02942913385827</v>
      </c>
      <c r="K17" s="22">
        <f>AVERAGE(L14:L17)</f>
        <v>-0.971022536158972</v>
      </c>
      <c r="L17" s="22">
        <f>('Cashflow '!D17-'Cashflow '!C17)/'Cashflow '!C17</f>
        <v>-0.920967741935484</v>
      </c>
    </row>
    <row r="18" ht="20.05" customHeight="1">
      <c r="B18" s="31"/>
      <c r="C18" s="32">
        <v>1221</v>
      </c>
      <c r="D18" s="33"/>
      <c r="E18" s="34">
        <v>46.5</v>
      </c>
      <c r="F18" s="17">
        <v>21</v>
      </c>
      <c r="G18" s="17">
        <v>3.8</v>
      </c>
      <c r="H18" s="17">
        <f>AVERAGE(G15:G18)</f>
        <v>-25.425</v>
      </c>
      <c r="I18" s="22">
        <f>C18/C17-1</f>
        <v>0.201771653543307</v>
      </c>
      <c r="J18" s="22">
        <f>(E18+G18-F18-C18)/C18</f>
        <v>-0.976003276003276</v>
      </c>
      <c r="K18" s="22">
        <f>AVERAGE(L15:L18)</f>
        <v>-0.947690224804878</v>
      </c>
      <c r="L18" s="22">
        <f>('Cashflow '!D18-'Cashflow '!C18)/'Cashflow '!C18</f>
        <v>-0.7959970887918491</v>
      </c>
    </row>
    <row r="19" ht="20.05" customHeight="1">
      <c r="B19" s="31"/>
      <c r="C19" s="36">
        <v>1110.4</v>
      </c>
      <c r="D19" s="33"/>
      <c r="E19" s="37">
        <v>53.3</v>
      </c>
      <c r="F19" s="38">
        <v>-24</v>
      </c>
      <c r="G19" s="38">
        <v>-118.7</v>
      </c>
      <c r="H19" s="17">
        <f>AVERAGE(G16:G19)</f>
        <v>-57.225</v>
      </c>
      <c r="I19" s="22">
        <f>C19/C18-1</f>
        <v>-0.09058149058149061</v>
      </c>
      <c r="J19" s="22">
        <f>(E19+G19-F19-C19)/C19</f>
        <v>-1.03728386167147</v>
      </c>
      <c r="K19" s="22">
        <f>AVERAGE(L16:L19)</f>
        <v>-1.02158846658502</v>
      </c>
      <c r="L19" s="22">
        <f>('Cashflow '!D19-'Cashflow '!C19)/'Cashflow '!C19</f>
        <v>-1.33296188990417</v>
      </c>
    </row>
    <row r="20" ht="20.05" customHeight="1">
      <c r="B20" s="35">
        <v>2019</v>
      </c>
      <c r="C20" s="32">
        <v>1100</v>
      </c>
      <c r="D20" s="33"/>
      <c r="E20" s="34">
        <v>55</v>
      </c>
      <c r="F20" s="17">
        <v>-7</v>
      </c>
      <c r="G20" s="17">
        <v>19.7</v>
      </c>
      <c r="H20" s="17">
        <f>AVERAGE(G17:G20)</f>
        <v>-36.225</v>
      </c>
      <c r="I20" s="22">
        <f>C20/C19-1</f>
        <v>-0.00936599423631124</v>
      </c>
      <c r="J20" s="22">
        <f>(E20+G20-F20-C20)/C20</f>
        <v>-0.925727272727273</v>
      </c>
      <c r="K20" s="22">
        <f>AVERAGE(L17:L20)</f>
        <v>-0.96667718188798</v>
      </c>
      <c r="L20" s="22">
        <f>('Cashflow '!D20-'Cashflow '!C20)/'Cashflow '!C20</f>
        <v>-0.816782006920415</v>
      </c>
    </row>
    <row r="21" ht="20.05" customHeight="1">
      <c r="B21" s="31"/>
      <c r="C21" s="32">
        <v>1093</v>
      </c>
      <c r="D21" s="33"/>
      <c r="E21" s="34">
        <v>18.5</v>
      </c>
      <c r="F21" s="17">
        <v>-9</v>
      </c>
      <c r="G21" s="17">
        <v>4.2</v>
      </c>
      <c r="H21" s="17">
        <f>AVERAGE(G18:G21)</f>
        <v>-22.75</v>
      </c>
      <c r="I21" s="22">
        <f>C21/C20-1</f>
        <v>-0.00636363636363636</v>
      </c>
      <c r="J21" s="22">
        <f>(E21+G21-F21-C21)/C21</f>
        <v>-0.97099725526075</v>
      </c>
      <c r="K21" s="22">
        <f>AVERAGE(L18:L21)</f>
        <v>-0.964417309184378</v>
      </c>
      <c r="L21" s="22">
        <f>('Cashflow '!D21-'Cashflow '!C21)/'Cashflow '!C21</f>
        <v>-0.911928251121076</v>
      </c>
    </row>
    <row r="22" ht="20.05" customHeight="1">
      <c r="B22" s="31"/>
      <c r="C22" s="32">
        <v>1347</v>
      </c>
      <c r="D22" s="33"/>
      <c r="E22" s="34">
        <v>45.5</v>
      </c>
      <c r="F22" s="17">
        <v>2</v>
      </c>
      <c r="G22" s="17">
        <v>99.09999999999999</v>
      </c>
      <c r="H22" s="17">
        <f>AVERAGE(G19:G22)</f>
        <v>1.075</v>
      </c>
      <c r="I22" s="22">
        <f>C22/C21-1</f>
        <v>0.232387923147301</v>
      </c>
      <c r="J22" s="22">
        <f>(E22+G22-F22-C22)/C22</f>
        <v>-0.894135115070527</v>
      </c>
      <c r="K22" s="22">
        <f>AVERAGE(L19:L22)</f>
        <v>-0.99330368962935</v>
      </c>
      <c r="L22" s="22">
        <f>('Cashflow '!D22-'Cashflow '!C22)/'Cashflow '!C22</f>
        <v>-0.911542610571737</v>
      </c>
    </row>
    <row r="23" ht="20.05" customHeight="1">
      <c r="B23" s="31"/>
      <c r="C23" s="32">
        <v>1032.6</v>
      </c>
      <c r="D23" s="33"/>
      <c r="E23" s="34">
        <v>63</v>
      </c>
      <c r="F23" s="17">
        <v>-19</v>
      </c>
      <c r="G23" s="17">
        <v>-116.5</v>
      </c>
      <c r="H23" s="17">
        <f>AVERAGE(G20:G23)</f>
        <v>1.625</v>
      </c>
      <c r="I23" s="22">
        <f>C23/C22-1</f>
        <v>-0.233407572383073</v>
      </c>
      <c r="J23" s="22">
        <f>(E23+G23-F23-C23)/C23</f>
        <v>-1.03341080766996</v>
      </c>
      <c r="K23" s="22">
        <f>AVERAGE(L20:L23)</f>
        <v>-0.888450567238972</v>
      </c>
      <c r="L23" s="22">
        <f>('Cashflow '!D23-'Cashflow '!C23)/'Cashflow '!C23</f>
        <v>-0.913549400342661</v>
      </c>
    </row>
    <row r="24" ht="20.05" customHeight="1">
      <c r="B24" s="35">
        <v>2020</v>
      </c>
      <c r="C24" s="32">
        <v>768.12</v>
      </c>
      <c r="D24" s="34">
        <v>1294.26</v>
      </c>
      <c r="E24" s="34">
        <v>266</v>
      </c>
      <c r="F24" s="17">
        <v>177</v>
      </c>
      <c r="G24" s="17">
        <v>-123.51</v>
      </c>
      <c r="H24" s="17">
        <f>AVERAGE(G21:G24)</f>
        <v>-34.1775</v>
      </c>
      <c r="I24" s="22">
        <f>C24/C23-1</f>
        <v>-0.256130156885532</v>
      </c>
      <c r="J24" s="22">
        <f>(E24+G24-F24-C24)/C24</f>
        <v>-1.04492787585273</v>
      </c>
      <c r="K24" s="22">
        <f>AVERAGE(L21:L24)</f>
        <v>-0.844356311096026</v>
      </c>
      <c r="L24" s="22">
        <f>('Cashflow '!D24-'Cashflow '!C24)/'Cashflow '!C24</f>
        <v>-0.640404982348631</v>
      </c>
    </row>
    <row r="25" ht="20.05" customHeight="1">
      <c r="B25" s="31"/>
      <c r="C25" s="32">
        <v>149.16</v>
      </c>
      <c r="D25" s="20">
        <v>710.45</v>
      </c>
      <c r="E25" s="34">
        <v>352</v>
      </c>
      <c r="F25" s="17">
        <v>-156.73</v>
      </c>
      <c r="G25" s="17">
        <v>-599.75</v>
      </c>
      <c r="H25" s="17">
        <f>AVERAGE(G22:G25)</f>
        <v>-185.165</v>
      </c>
      <c r="I25" s="22">
        <f>C25/C24-1</f>
        <v>-0.80581159193876</v>
      </c>
      <c r="J25" s="22">
        <f>(E25+G25-F25-C25)/C25</f>
        <v>-1.61021721641191</v>
      </c>
      <c r="K25" s="22">
        <f>AVERAGE(L22:L25)</f>
        <v>-1.11964335552641</v>
      </c>
      <c r="L25" s="22">
        <f>('Cashflow '!D25-'Cashflow '!C25)/'Cashflow '!C25</f>
        <v>-2.01307642884262</v>
      </c>
    </row>
    <row r="26" ht="20.05" customHeight="1">
      <c r="B26" s="31"/>
      <c r="C26" s="32">
        <v>221.72</v>
      </c>
      <c r="D26" s="20">
        <v>447.48</v>
      </c>
      <c r="E26" s="34">
        <v>286</v>
      </c>
      <c r="F26" s="17">
        <v>62.73</v>
      </c>
      <c r="G26" s="17">
        <v>-368.74</v>
      </c>
      <c r="H26" s="17">
        <f>AVERAGE(G23:G26)</f>
        <v>-302.125</v>
      </c>
      <c r="I26" s="22">
        <f>C26/C25-1</f>
        <v>0.486457495307053</v>
      </c>
      <c r="J26" s="22">
        <f>(E26+G26-F26-C26)/C26</f>
        <v>-1.65609778098503</v>
      </c>
      <c r="K26" s="22">
        <f>AVERAGE(L23:L26)</f>
        <v>-1.17084742177658</v>
      </c>
      <c r="L26" s="22">
        <f>('Cashflow '!D26-'Cashflow '!C26)/'Cashflow '!C26</f>
        <v>-1.11635887557242</v>
      </c>
    </row>
    <row r="27" ht="20.05" customHeight="1">
      <c r="B27" s="31"/>
      <c r="C27" s="32">
        <f>1492.3-SUM(C24:C26)</f>
        <v>353.3</v>
      </c>
      <c r="D27" s="20">
        <v>443.44</v>
      </c>
      <c r="E27" s="34">
        <f>1525.7-SUM(E24:E26)</f>
        <v>621.7</v>
      </c>
      <c r="F27" s="17">
        <f>-35.2-SUM(F24:F26)</f>
        <v>-118.2</v>
      </c>
      <c r="G27" s="17">
        <f>-2476.6-SUM(G24:G26)</f>
        <v>-1384.6</v>
      </c>
      <c r="H27" s="17">
        <f>AVERAGE(G24:G27)</f>
        <v>-619.15</v>
      </c>
      <c r="I27" s="22">
        <f>C27/C26-1</f>
        <v>0.593451199711348</v>
      </c>
      <c r="J27" s="22">
        <f>(E27+G27-F27-C27)/C27</f>
        <v>-2.82479479196151</v>
      </c>
      <c r="K27" s="22">
        <f>AVERAGE(L24:L27)</f>
        <v>-1.19269255774176</v>
      </c>
      <c r="L27" s="22">
        <f>('Cashflow '!D27-'Cashflow '!C27)/'Cashflow '!C27</f>
        <v>-1.00092994420335</v>
      </c>
    </row>
    <row r="28" ht="20.05" customHeight="1">
      <c r="B28" s="35">
        <v>2021</v>
      </c>
      <c r="C28" s="32">
        <f>335.1</f>
        <v>335.1</v>
      </c>
      <c r="D28" s="20">
        <v>545.4312</v>
      </c>
      <c r="E28" s="34">
        <v>339.1</v>
      </c>
      <c r="F28" s="39">
        <v>61.1</v>
      </c>
      <c r="G28" s="39">
        <f>-385.4</f>
        <v>-385.4</v>
      </c>
      <c r="H28" s="39">
        <f>AVERAGE(G25:G28)</f>
        <v>-684.6224999999999</v>
      </c>
      <c r="I28" s="22">
        <f>C28/C27-1</f>
        <v>-0.051514293801302</v>
      </c>
      <c r="J28" s="22">
        <f>(E28+G28-F28-C28)/C28</f>
        <v>-1.32050134288272</v>
      </c>
      <c r="K28" s="22">
        <f>AVERAGE(L25:L28)</f>
        <v>-1.30699523922332</v>
      </c>
      <c r="L28" s="22">
        <f>('Cashflow '!D28-'Cashflow '!C28)/'Cashflow '!C28</f>
        <v>-1.09761570827489</v>
      </c>
    </row>
    <row r="29" ht="20.05" customHeight="1">
      <c r="B29" s="31"/>
      <c r="C29" s="32">
        <f>696.8-C28</f>
        <v>361.7</v>
      </c>
      <c r="D29" s="20">
        <v>670.880376</v>
      </c>
      <c r="E29" s="34">
        <f>661.3-E28</f>
        <v>322.2</v>
      </c>
      <c r="F29" s="39">
        <f>50.6-F28</f>
        <v>-10.5</v>
      </c>
      <c r="G29" s="39">
        <f>-901.7-G28</f>
        <v>-516.3</v>
      </c>
      <c r="H29" s="39">
        <f>AVERAGE(G26:G29)</f>
        <v>-663.76</v>
      </c>
      <c r="I29" s="22">
        <f>C29/C28-1</f>
        <v>0.0793792897642495</v>
      </c>
      <c r="J29" s="22">
        <f>(E29+G29-F29-C29)/C29</f>
        <v>-1.50760298589992</v>
      </c>
      <c r="K29" s="22">
        <f>AVERAGE(L26:L29)</f>
        <v>-0.991157450693984</v>
      </c>
      <c r="L29" s="22">
        <f>('Cashflow '!D29-'Cashflow '!C29)/'Cashflow '!C29</f>
        <v>-0.7497252747252749</v>
      </c>
    </row>
    <row r="30" ht="20.05" customHeight="1">
      <c r="B30" s="31"/>
      <c r="C30" s="32">
        <f>939-SUM(C28:C29)</f>
        <v>242.2</v>
      </c>
      <c r="D30" s="20">
        <v>397.87</v>
      </c>
      <c r="E30" s="34">
        <f>959.8-SUM(E28:E29)</f>
        <v>298.5</v>
      </c>
      <c r="F30" s="39">
        <f>25.6-SUM(F28:F29)</f>
        <v>-25</v>
      </c>
      <c r="G30" s="39">
        <f>-1666.6-SUM(G28:G29)</f>
        <v>-764.9</v>
      </c>
      <c r="H30" s="39">
        <f>AVERAGE(G27:G30)</f>
        <v>-762.8</v>
      </c>
      <c r="I30" s="22">
        <f>C30/C29-1</f>
        <v>-0.330384296378214</v>
      </c>
      <c r="J30" s="22">
        <f>(E30+G30-F30-C30)/C30</f>
        <v>-2.822460776218</v>
      </c>
      <c r="K30" s="22">
        <f>AVERAGE(L27:L30)</f>
        <v>-0.961487236444842</v>
      </c>
      <c r="L30" s="22">
        <f>('Cashflow '!D30-'Cashflow '!C30)/'Cashflow '!C30</f>
        <v>-0.997678018575851</v>
      </c>
    </row>
    <row r="31" ht="20.05" customHeight="1">
      <c r="B31" s="31"/>
      <c r="C31" s="32"/>
      <c r="D31" s="20">
        <f>'Model'!C6</f>
        <v>423.85</v>
      </c>
      <c r="E31" s="33"/>
      <c r="F31" s="33"/>
      <c r="G31" s="33"/>
      <c r="H31" s="17">
        <f>'Model'!F22</f>
        <v>-274.753192226906</v>
      </c>
      <c r="I31" s="22"/>
      <c r="J31" s="22">
        <f>'Model'!C7</f>
        <v>-0.961487236444842</v>
      </c>
      <c r="K31" s="33"/>
      <c r="L31" s="22"/>
    </row>
    <row r="32" ht="20.05" customHeight="1">
      <c r="B32" s="35">
        <v>2022</v>
      </c>
      <c r="C32" s="32"/>
      <c r="D32" s="20">
        <f>'Model'!D6</f>
        <v>466.235</v>
      </c>
      <c r="E32" s="33"/>
      <c r="F32" s="33"/>
      <c r="G32" s="33"/>
      <c r="H32" s="33"/>
      <c r="I32" s="13"/>
      <c r="J32" s="13"/>
      <c r="K32" s="22"/>
      <c r="L32" s="22"/>
    </row>
    <row r="33" ht="20.05" customHeight="1">
      <c r="B33" s="31"/>
      <c r="C33" s="32"/>
      <c r="D33" s="20">
        <f>'Model'!E6</f>
        <v>536.17025</v>
      </c>
      <c r="E33" s="33"/>
      <c r="F33" s="33"/>
      <c r="G33" s="33"/>
      <c r="H33" s="33"/>
      <c r="I33" s="13"/>
      <c r="J33" s="13"/>
      <c r="K33" s="22"/>
      <c r="L33" s="22"/>
    </row>
    <row r="34" ht="20.05" customHeight="1">
      <c r="B34" s="31"/>
      <c r="C34" s="32"/>
      <c r="D34" s="20">
        <f>'Model'!F6</f>
        <v>616.5957875</v>
      </c>
      <c r="E34" s="33"/>
      <c r="F34" s="33"/>
      <c r="G34" s="33"/>
      <c r="H34" s="33"/>
      <c r="I34" s="13"/>
      <c r="J34" s="13"/>
      <c r="K34" s="22"/>
      <c r="L34" s="22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891" style="40" customWidth="1"/>
    <col min="2" max="2" width="7.82812" style="40" customWidth="1"/>
    <col min="3" max="10" width="9.07031" style="40" customWidth="1"/>
    <col min="11" max="16384" width="16.3516" style="40" customWidth="1"/>
  </cols>
  <sheetData>
    <row r="1" ht="51.9" customHeight="1"/>
    <row r="2" ht="27.65" customHeight="1">
      <c r="B2" t="s" s="2">
        <v>49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50</v>
      </c>
      <c r="D3" t="s" s="4">
        <v>51</v>
      </c>
      <c r="E3" t="s" s="4">
        <v>9</v>
      </c>
      <c r="F3" t="s" s="4">
        <v>10</v>
      </c>
      <c r="G3" t="s" s="4">
        <v>52</v>
      </c>
      <c r="H3" t="s" s="4">
        <v>53</v>
      </c>
      <c r="I3" t="s" s="4">
        <v>3</v>
      </c>
      <c r="J3" t="s" s="4">
        <v>31</v>
      </c>
    </row>
    <row r="4" ht="20.25" customHeight="1">
      <c r="B4" s="25">
        <v>2015</v>
      </c>
      <c r="C4" s="41">
        <v>862.3</v>
      </c>
      <c r="D4" s="29">
        <v>-26.1</v>
      </c>
      <c r="E4" s="29">
        <v>-67.3</v>
      </c>
      <c r="F4" s="29"/>
      <c r="G4" s="29">
        <v>128.5</v>
      </c>
      <c r="H4" s="29">
        <f>D4+E4+F4</f>
        <v>-93.40000000000001</v>
      </c>
      <c r="I4" s="42"/>
      <c r="J4" s="29">
        <f>-(G4-F4)</f>
        <v>-128.5</v>
      </c>
    </row>
    <row r="5" ht="20.05" customHeight="1">
      <c r="B5" s="31"/>
      <c r="C5" s="16">
        <v>981.7</v>
      </c>
      <c r="D5" s="17">
        <v>86.3</v>
      </c>
      <c r="E5" s="17">
        <v>-52.1</v>
      </c>
      <c r="F5" s="17"/>
      <c r="G5" s="17">
        <v>-33.1</v>
      </c>
      <c r="H5" s="17">
        <f>D5+E5+F5</f>
        <v>34.2</v>
      </c>
      <c r="I5" s="20"/>
      <c r="J5" s="17">
        <f>-(G5-F5)+J4</f>
        <v>-95.40000000000001</v>
      </c>
    </row>
    <row r="6" ht="20.05" customHeight="1">
      <c r="B6" s="31"/>
      <c r="C6" s="16">
        <v>998.6</v>
      </c>
      <c r="D6" s="17">
        <v>-4.2</v>
      </c>
      <c r="E6" s="17">
        <v>15.3</v>
      </c>
      <c r="F6" s="17"/>
      <c r="G6" s="17">
        <v>-50.6</v>
      </c>
      <c r="H6" s="17">
        <f>D6+E6+F6</f>
        <v>11.1</v>
      </c>
      <c r="I6" s="20"/>
      <c r="J6" s="17">
        <f>-(G6-F6)+J5</f>
        <v>-44.8</v>
      </c>
    </row>
    <row r="7" ht="20.05" customHeight="1">
      <c r="B7" s="31"/>
      <c r="C7" s="16">
        <v>926.8</v>
      </c>
      <c r="D7" s="17">
        <v>123.4</v>
      </c>
      <c r="E7" s="17">
        <v>-95.90000000000001</v>
      </c>
      <c r="F7" s="17"/>
      <c r="G7" s="17">
        <v>136.6</v>
      </c>
      <c r="H7" s="17">
        <f>D7+E7+F7</f>
        <v>27.5</v>
      </c>
      <c r="I7" s="20"/>
      <c r="J7" s="17">
        <f>-(G7-F7)+J6</f>
        <v>-181.4</v>
      </c>
    </row>
    <row r="8" ht="20.05" customHeight="1">
      <c r="B8" s="35">
        <v>2016</v>
      </c>
      <c r="C8" s="16">
        <v>880.8</v>
      </c>
      <c r="D8" s="17">
        <v>-32.5</v>
      </c>
      <c r="E8" s="17">
        <v>-63.2</v>
      </c>
      <c r="F8" s="17"/>
      <c r="G8" s="17">
        <v>58.1</v>
      </c>
      <c r="H8" s="17">
        <f>D8+E8+F8</f>
        <v>-95.7</v>
      </c>
      <c r="I8" s="39">
        <f>AVERAGE(H5:H8)</f>
        <v>-5.725</v>
      </c>
      <c r="J8" s="17">
        <f>-(G8-F8)+J7</f>
        <v>-239.5</v>
      </c>
    </row>
    <row r="9" ht="20.05" customHeight="1">
      <c r="B9" s="31"/>
      <c r="C9" s="16">
        <v>1076.2</v>
      </c>
      <c r="D9" s="17">
        <v>-11</v>
      </c>
      <c r="E9" s="17">
        <v>-108.8</v>
      </c>
      <c r="F9" s="17"/>
      <c r="G9" s="17">
        <v>163.8</v>
      </c>
      <c r="H9" s="17">
        <f>D9+E9+F9</f>
        <v>-119.8</v>
      </c>
      <c r="I9" s="39">
        <f>AVERAGE(H6:H9)</f>
        <v>-44.225</v>
      </c>
      <c r="J9" s="17">
        <f>-(G9-F9)+J8</f>
        <v>-403.3</v>
      </c>
    </row>
    <row r="10" ht="20.05" customHeight="1">
      <c r="B10" s="31"/>
      <c r="C10" s="16">
        <v>1045</v>
      </c>
      <c r="D10" s="17">
        <v>121.5</v>
      </c>
      <c r="E10" s="17">
        <v>-108.7</v>
      </c>
      <c r="F10" s="17"/>
      <c r="G10" s="17">
        <v>-91.2</v>
      </c>
      <c r="H10" s="17">
        <f>D10+E10+F10</f>
        <v>12.8</v>
      </c>
      <c r="I10" s="39">
        <f>AVERAGE(H7:H10)</f>
        <v>-43.8</v>
      </c>
      <c r="J10" s="17">
        <f>-(G10-F10)+J9</f>
        <v>-312.1</v>
      </c>
    </row>
    <row r="11" ht="20.05" customHeight="1">
      <c r="B11" s="31"/>
      <c r="C11" s="16">
        <v>866</v>
      </c>
      <c r="D11" s="17">
        <v>29.5</v>
      </c>
      <c r="E11" s="17">
        <v>-26.4</v>
      </c>
      <c r="F11" s="17"/>
      <c r="G11" s="17">
        <v>136.8</v>
      </c>
      <c r="H11" s="17">
        <f>D11+E11+F11</f>
        <v>3.1</v>
      </c>
      <c r="I11" s="39">
        <f>AVERAGE(H8:H11)</f>
        <v>-49.9</v>
      </c>
      <c r="J11" s="17">
        <f>-(G11-F11)+J10</f>
        <v>-448.9</v>
      </c>
    </row>
    <row r="12" ht="20.05" customHeight="1">
      <c r="B12" s="35">
        <v>2017</v>
      </c>
      <c r="C12" s="16">
        <v>932.6</v>
      </c>
      <c r="D12" s="17">
        <v>-60.9</v>
      </c>
      <c r="E12" s="17">
        <v>-79.3</v>
      </c>
      <c r="F12" s="17"/>
      <c r="G12" s="17">
        <v>106.7</v>
      </c>
      <c r="H12" s="17">
        <f>D12+E12+F12</f>
        <v>-140.2</v>
      </c>
      <c r="I12" s="39">
        <f>AVERAGE(H9:H12)</f>
        <v>-61.025</v>
      </c>
      <c r="J12" s="17">
        <f>-(G12-F12)+J11</f>
        <v>-555.6</v>
      </c>
    </row>
    <row r="13" ht="20.05" customHeight="1">
      <c r="B13" s="31"/>
      <c r="C13" s="16">
        <v>984.4</v>
      </c>
      <c r="D13" s="17">
        <v>-88.09999999999999</v>
      </c>
      <c r="E13" s="17">
        <v>-90.2</v>
      </c>
      <c r="F13" s="17"/>
      <c r="G13" s="17">
        <v>9.6</v>
      </c>
      <c r="H13" s="17">
        <f>D13+E13+F13</f>
        <v>-178.3</v>
      </c>
      <c r="I13" s="39">
        <f>AVERAGE(H10:H13)</f>
        <v>-75.65000000000001</v>
      </c>
      <c r="J13" s="17">
        <f>-(G13-F13)+J12</f>
        <v>-565.2</v>
      </c>
    </row>
    <row r="14" ht="20.05" customHeight="1">
      <c r="B14" s="31"/>
      <c r="C14" s="16">
        <v>1143</v>
      </c>
      <c r="D14" s="17">
        <v>126.5</v>
      </c>
      <c r="E14" s="17">
        <v>-108.8</v>
      </c>
      <c r="F14" s="17"/>
      <c r="G14" s="17">
        <v>-11.2</v>
      </c>
      <c r="H14" s="17">
        <f>D14+E14+F14</f>
        <v>17.7</v>
      </c>
      <c r="I14" s="39">
        <f>AVERAGE(H11:H14)</f>
        <v>-74.425</v>
      </c>
      <c r="J14" s="17">
        <f>-(G14-F14)+J13</f>
        <v>-554</v>
      </c>
    </row>
    <row r="15" ht="20.05" customHeight="1">
      <c r="B15" s="31"/>
      <c r="C15" s="16">
        <v>1049</v>
      </c>
      <c r="D15" s="17">
        <v>-39.2</v>
      </c>
      <c r="E15" s="17">
        <v>-97.90000000000001</v>
      </c>
      <c r="F15" s="17"/>
      <c r="G15" s="17">
        <v>55.3</v>
      </c>
      <c r="H15" s="17">
        <f>D15+E15+F15</f>
        <v>-137.1</v>
      </c>
      <c r="I15" s="39">
        <f>AVERAGE(H12:H15)</f>
        <v>-109.475</v>
      </c>
      <c r="J15" s="17">
        <f>-(G15-F15)+J14</f>
        <v>-609.3</v>
      </c>
    </row>
    <row r="16" ht="20.05" customHeight="1">
      <c r="B16" s="35">
        <v>2018</v>
      </c>
      <c r="C16" s="16">
        <v>1002</v>
      </c>
      <c r="D16" s="17">
        <v>-36.5</v>
      </c>
      <c r="E16" s="17">
        <v>-97.2</v>
      </c>
      <c r="F16" s="17"/>
      <c r="G16" s="17">
        <v>132.3</v>
      </c>
      <c r="H16" s="17">
        <f>D16+E16+F16</f>
        <v>-133.7</v>
      </c>
      <c r="I16" s="39">
        <f>AVERAGE(H13:H16)</f>
        <v>-107.85</v>
      </c>
      <c r="J16" s="17">
        <f>-(G16-F16)+J15</f>
        <v>-741.6</v>
      </c>
    </row>
    <row r="17" ht="20.05" customHeight="1">
      <c r="B17" s="31"/>
      <c r="C17" s="16">
        <v>1054</v>
      </c>
      <c r="D17" s="17">
        <v>83.3</v>
      </c>
      <c r="E17" s="17">
        <v>-75.2</v>
      </c>
      <c r="F17" s="17"/>
      <c r="G17" s="17">
        <v>-0.8</v>
      </c>
      <c r="H17" s="17">
        <f>D17+E17+F17</f>
        <v>8.1</v>
      </c>
      <c r="I17" s="39">
        <f>AVERAGE(H14:H17)</f>
        <v>-61.25</v>
      </c>
      <c r="J17" s="17">
        <f>-(G17-F17)+J16</f>
        <v>-740.8</v>
      </c>
    </row>
    <row r="18" ht="20.05" customHeight="1">
      <c r="B18" s="31"/>
      <c r="C18" s="16">
        <v>1374</v>
      </c>
      <c r="D18" s="17">
        <v>280.3</v>
      </c>
      <c r="E18" s="17">
        <v>-119.6</v>
      </c>
      <c r="F18" s="17"/>
      <c r="G18" s="17">
        <v>-182.3</v>
      </c>
      <c r="H18" s="17">
        <f>D18+E18+F18</f>
        <v>160.7</v>
      </c>
      <c r="I18" s="39">
        <f>AVERAGE(H15:H18)</f>
        <v>-25.5</v>
      </c>
      <c r="J18" s="17">
        <f>-(G18-F18)+J17</f>
        <v>-558.5</v>
      </c>
    </row>
    <row r="19" ht="20.05" customHeight="1">
      <c r="B19" s="31"/>
      <c r="C19" s="43">
        <v>897.4</v>
      </c>
      <c r="D19" s="38">
        <v>-298.8</v>
      </c>
      <c r="E19" s="38">
        <v>-8.199999999999999</v>
      </c>
      <c r="F19" s="17">
        <f>-14-SUM(F16:F18)</f>
        <v>-14</v>
      </c>
      <c r="G19" s="38">
        <v>287.4</v>
      </c>
      <c r="H19" s="17">
        <f>D19+E19+F19</f>
        <v>-321</v>
      </c>
      <c r="I19" s="39">
        <f>AVERAGE(H16:H19)</f>
        <v>-71.47499999999999</v>
      </c>
      <c r="J19" s="17">
        <f>-(G19-F19)+J18</f>
        <v>-859.9</v>
      </c>
    </row>
    <row r="20" ht="20.05" customHeight="1">
      <c r="B20" s="35">
        <v>2019</v>
      </c>
      <c r="C20" s="16">
        <v>1156</v>
      </c>
      <c r="D20" s="17">
        <v>211.8</v>
      </c>
      <c r="E20" s="17">
        <v>-1.7</v>
      </c>
      <c r="F20" s="17">
        <v>0</v>
      </c>
      <c r="G20" s="17">
        <v>-125.1</v>
      </c>
      <c r="H20" s="17">
        <f>D20+E20+F20</f>
        <v>210.1</v>
      </c>
      <c r="I20" s="39">
        <f>AVERAGE(H17:H20)</f>
        <v>14.475</v>
      </c>
      <c r="J20" s="17">
        <f>-(G20-F20)+J19</f>
        <v>-734.8</v>
      </c>
    </row>
    <row r="21" ht="20.05" customHeight="1">
      <c r="B21" s="31"/>
      <c r="C21" s="16">
        <v>1115</v>
      </c>
      <c r="D21" s="17">
        <v>98.2</v>
      </c>
      <c r="E21" s="17">
        <v>-68.3</v>
      </c>
      <c r="F21" s="17">
        <f>0-F20</f>
        <v>0</v>
      </c>
      <c r="G21" s="17">
        <v>-42.9</v>
      </c>
      <c r="H21" s="17">
        <f>D21+E21+F21</f>
        <v>29.9</v>
      </c>
      <c r="I21" s="39">
        <f>AVERAGE(H18:H21)</f>
        <v>19.925</v>
      </c>
      <c r="J21" s="17">
        <f>-(G21-F21)+J20</f>
        <v>-691.9</v>
      </c>
    </row>
    <row r="22" ht="20.05" customHeight="1">
      <c r="B22" s="31"/>
      <c r="C22" s="16">
        <v>927</v>
      </c>
      <c r="D22" s="17">
        <v>82</v>
      </c>
      <c r="E22" s="17">
        <v>-34</v>
      </c>
      <c r="F22" s="17">
        <f>0-SUM(F20:F21)</f>
        <v>0</v>
      </c>
      <c r="G22" s="17">
        <v>-22</v>
      </c>
      <c r="H22" s="17">
        <f>D22+E22+F22</f>
        <v>48</v>
      </c>
      <c r="I22" s="39">
        <f>AVERAGE(H19:H22)</f>
        <v>-8.25</v>
      </c>
      <c r="J22" s="17">
        <f>-(G22-F22)+J21</f>
        <v>-669.9</v>
      </c>
    </row>
    <row r="23" ht="20.05" customHeight="1">
      <c r="B23" s="31"/>
      <c r="C23" s="16">
        <v>1400.8</v>
      </c>
      <c r="D23" s="17">
        <v>121.1</v>
      </c>
      <c r="E23" s="17">
        <v>-213.4</v>
      </c>
      <c r="F23" s="17">
        <f>-14-SUM(F20:F22)</f>
        <v>-14</v>
      </c>
      <c r="G23" s="17">
        <v>43.3</v>
      </c>
      <c r="H23" s="17">
        <f>D23+E23+F23</f>
        <v>-106.3</v>
      </c>
      <c r="I23" s="39">
        <f>AVERAGE(H20:H23)</f>
        <v>45.425</v>
      </c>
      <c r="J23" s="17">
        <f>-(G23-F23)+J22</f>
        <v>-727.2</v>
      </c>
    </row>
    <row r="24" ht="20.05" customHeight="1">
      <c r="B24" s="35">
        <v>2020</v>
      </c>
      <c r="C24" s="16">
        <v>750.65</v>
      </c>
      <c r="D24" s="17">
        <v>269.93</v>
      </c>
      <c r="E24" s="17">
        <v>-40.24</v>
      </c>
      <c r="F24" s="17">
        <v>-94</v>
      </c>
      <c r="G24" s="17">
        <v>-355.2</v>
      </c>
      <c r="H24" s="17">
        <f>D24+E24+F24</f>
        <v>135.69</v>
      </c>
      <c r="I24" s="39">
        <f>AVERAGE(H21:H24)</f>
        <v>26.8225</v>
      </c>
      <c r="J24" s="17">
        <f>-(G24-F24)+J23</f>
        <v>-466</v>
      </c>
    </row>
    <row r="25" ht="20.05" customHeight="1">
      <c r="B25" s="31"/>
      <c r="C25" s="16">
        <v>136.964</v>
      </c>
      <c r="D25" s="17">
        <v>-138.755</v>
      </c>
      <c r="E25" s="17">
        <v>-8.619999999999999</v>
      </c>
      <c r="F25" s="17">
        <f>-102-F24</f>
        <v>-8</v>
      </c>
      <c r="G25" s="17">
        <v>145.4</v>
      </c>
      <c r="H25" s="17">
        <f>D25+E25+F25</f>
        <v>-155.375</v>
      </c>
      <c r="I25" s="39">
        <f>AVERAGE(H22:H25)</f>
        <v>-19.49625</v>
      </c>
      <c r="J25" s="17">
        <f>-(G25-F25)+J24</f>
        <v>-619.4</v>
      </c>
    </row>
    <row r="26" ht="20.05" customHeight="1">
      <c r="B26" s="31"/>
      <c r="C26" s="16">
        <v>173.386</v>
      </c>
      <c r="D26" s="17">
        <v>-20.175</v>
      </c>
      <c r="E26" s="17">
        <v>3.86</v>
      </c>
      <c r="F26" s="17">
        <f>-117-SUM(F24:F25)</f>
        <v>-15</v>
      </c>
      <c r="G26" s="17">
        <v>18.8</v>
      </c>
      <c r="H26" s="17">
        <f>D26+E26+F26</f>
        <v>-31.315</v>
      </c>
      <c r="I26" s="39">
        <f>AVERAGE(H23:H26)</f>
        <v>-39.325</v>
      </c>
      <c r="J26" s="17">
        <f>-(G26-F26)+J25</f>
        <v>-653.2</v>
      </c>
    </row>
    <row r="27" ht="20.05" customHeight="1">
      <c r="B27" s="31"/>
      <c r="C27" s="44">
        <f>1706.2-SUM(C24:C26)</f>
        <v>645.2</v>
      </c>
      <c r="D27" s="39">
        <f>110.4-SUM(D24:D26)</f>
        <v>-0.6</v>
      </c>
      <c r="E27" s="39">
        <f>-55.9-SUM(E24:E26)</f>
        <v>-10.9</v>
      </c>
      <c r="F27" s="39">
        <f>-134.4-SUM(F24:F26)</f>
        <v>-17.4</v>
      </c>
      <c r="G27" s="17">
        <f>-150.9-SUM(G24:G26)</f>
        <v>40.1</v>
      </c>
      <c r="H27" s="17">
        <f>D27+E27+F27</f>
        <v>-28.9</v>
      </c>
      <c r="I27" s="39">
        <f>AVERAGE(H24:H27)</f>
        <v>-19.975</v>
      </c>
      <c r="J27" s="17">
        <f>-(G27-F27)+J26</f>
        <v>-710.7</v>
      </c>
    </row>
    <row r="28" ht="20.05" customHeight="1">
      <c r="B28" s="35">
        <v>2021</v>
      </c>
      <c r="C28" s="44">
        <f>356.5</f>
        <v>356.5</v>
      </c>
      <c r="D28" s="39">
        <f>-34.8</f>
        <v>-34.8</v>
      </c>
      <c r="E28" s="39">
        <f>-98.1</f>
        <v>-98.09999999999999</v>
      </c>
      <c r="F28" s="39">
        <f>-35.2</f>
        <v>-35.2</v>
      </c>
      <c r="G28" s="17">
        <f>100.9</f>
        <v>100.9</v>
      </c>
      <c r="H28" s="17">
        <f>D28+E28+F28</f>
        <v>-168.1</v>
      </c>
      <c r="I28" s="39">
        <f>AVERAGE(H25:H28)</f>
        <v>-95.9225</v>
      </c>
      <c r="J28" s="17">
        <f>-(G28-F28)+J27</f>
        <v>-846.8</v>
      </c>
    </row>
    <row r="29" ht="20.05" customHeight="1">
      <c r="B29" s="31"/>
      <c r="C29" s="44">
        <f>720.5-C28</f>
        <v>364</v>
      </c>
      <c r="D29" s="39">
        <f>56.3-D28</f>
        <v>91.09999999999999</v>
      </c>
      <c r="E29" s="39">
        <f>-203-E28</f>
        <v>-104.9</v>
      </c>
      <c r="F29" s="39">
        <f>-49.8-F28</f>
        <v>-14.6</v>
      </c>
      <c r="G29" s="17">
        <f>26.6-G28</f>
        <v>-74.3</v>
      </c>
      <c r="H29" s="17">
        <f>D29+E29+F29</f>
        <v>-28.4</v>
      </c>
      <c r="I29" s="39">
        <f>AVERAGE(H26:H29)</f>
        <v>-64.17874999999999</v>
      </c>
      <c r="J29" s="17">
        <f>-(G29-F29)+J28</f>
        <v>-787.1</v>
      </c>
    </row>
    <row r="30" ht="20.05" customHeight="1">
      <c r="B30" s="31"/>
      <c r="C30" s="44">
        <f>978.9-SUM(C28:C29)</f>
        <v>258.4</v>
      </c>
      <c r="D30" s="17">
        <f>56.9-SUM(D28:D29)</f>
        <v>0.6</v>
      </c>
      <c r="E30" s="39">
        <f>-237.9-SUM(E28:E29)</f>
        <v>-34.9</v>
      </c>
      <c r="F30" s="39">
        <f>-73.7-SUM(F28:F29)</f>
        <v>-23.9</v>
      </c>
      <c r="G30" s="17">
        <f>24.7-SUM(G28:G29)</f>
        <v>-1.9</v>
      </c>
      <c r="H30" s="17">
        <f>D30+E30+F30</f>
        <v>-58.2</v>
      </c>
      <c r="I30" s="39">
        <f>AVERAGE(H27:H30)</f>
        <v>-70.90000000000001</v>
      </c>
      <c r="J30" s="17">
        <f>-(G30-F30)+J29</f>
        <v>-809.1</v>
      </c>
    </row>
    <row r="31" ht="20.05" customHeight="1">
      <c r="B31" s="31"/>
      <c r="C31" s="44"/>
      <c r="D31" s="13"/>
      <c r="E31" s="39"/>
      <c r="F31" s="39"/>
      <c r="G31" s="17"/>
      <c r="H31" s="17"/>
      <c r="I31" s="39">
        <f>SUM('Model'!F9:F11)</f>
        <v>0.526807773094</v>
      </c>
      <c r="J31" s="17">
        <f>'Model'!F34</f>
        <v>-823.304161014353</v>
      </c>
    </row>
  </sheetData>
  <mergeCells count="1">
    <mergeCell ref="B2:J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5625" style="45" customWidth="1"/>
    <col min="2" max="2" width="8.03125" style="45" customWidth="1"/>
    <col min="3" max="11" width="10.3906" style="45" customWidth="1"/>
    <col min="12" max="16384" width="16.3516" style="45" customWidth="1"/>
  </cols>
  <sheetData>
    <row r="1" ht="16.4" customHeight="1"/>
    <row r="2" ht="27.65" customHeight="1">
      <c r="B2" t="s" s="2">
        <v>54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55</v>
      </c>
      <c r="D3" t="s" s="4">
        <v>56</v>
      </c>
      <c r="E3" t="s" s="4">
        <v>57</v>
      </c>
      <c r="F3" t="s" s="4">
        <v>24</v>
      </c>
      <c r="G3" t="s" s="4">
        <v>12</v>
      </c>
      <c r="H3" t="s" s="4">
        <v>13</v>
      </c>
      <c r="I3" t="s" s="4">
        <v>58</v>
      </c>
      <c r="J3" t="s" s="4">
        <v>28</v>
      </c>
      <c r="K3" t="s" s="4">
        <v>37</v>
      </c>
    </row>
    <row r="4" ht="20.25" customHeight="1">
      <c r="B4" s="25">
        <v>2015</v>
      </c>
      <c r="C4" s="41">
        <v>465</v>
      </c>
      <c r="D4" s="29">
        <v>3172</v>
      </c>
      <c r="E4" s="29">
        <f>D4-C4</f>
        <v>2707</v>
      </c>
      <c r="F4" s="29"/>
      <c r="G4" s="29">
        <v>2298</v>
      </c>
      <c r="H4" s="29">
        <v>874</v>
      </c>
      <c r="I4" s="29">
        <f>G4+H4-C4-E4</f>
        <v>0</v>
      </c>
      <c r="J4" s="29">
        <f>C4-G4</f>
        <v>-1833</v>
      </c>
      <c r="K4" s="29"/>
    </row>
    <row r="5" ht="20.05" customHeight="1">
      <c r="B5" s="31"/>
      <c r="C5" s="16">
        <v>464</v>
      </c>
      <c r="D5" s="17">
        <v>3201.4</v>
      </c>
      <c r="E5" s="17">
        <f>D5-C5</f>
        <v>2737.4</v>
      </c>
      <c r="F5" s="17"/>
      <c r="G5" s="17">
        <v>2319</v>
      </c>
      <c r="H5" s="17">
        <v>883</v>
      </c>
      <c r="I5" s="17">
        <f>G5+H5-C5-E5</f>
        <v>0.6</v>
      </c>
      <c r="J5" s="17">
        <f>C5-G5</f>
        <v>-1855</v>
      </c>
      <c r="K5" s="17"/>
    </row>
    <row r="6" ht="20.05" customHeight="1">
      <c r="B6" s="31"/>
      <c r="C6" s="16">
        <v>409.5</v>
      </c>
      <c r="D6" s="17">
        <v>3082</v>
      </c>
      <c r="E6" s="17">
        <f>D6-C6</f>
        <v>2672.5</v>
      </c>
      <c r="F6" s="17"/>
      <c r="G6" s="17">
        <v>2211</v>
      </c>
      <c r="H6" s="17">
        <v>871</v>
      </c>
      <c r="I6" s="17">
        <f>G6+H6-C6-E6</f>
        <v>0</v>
      </c>
      <c r="J6" s="23">
        <f>C6-G6</f>
        <v>-1801.5</v>
      </c>
      <c r="K6" s="17"/>
    </row>
    <row r="7" ht="20.05" customHeight="1">
      <c r="B7" s="31"/>
      <c r="C7" s="16">
        <v>520</v>
      </c>
      <c r="D7" s="17">
        <v>3310</v>
      </c>
      <c r="E7" s="17">
        <f>D7-C7</f>
        <v>2790</v>
      </c>
      <c r="F7" s="17"/>
      <c r="G7" s="17">
        <v>2359</v>
      </c>
      <c r="H7" s="17">
        <v>951</v>
      </c>
      <c r="I7" s="17">
        <f>G7+H7-C7-E7</f>
        <v>0</v>
      </c>
      <c r="J7" s="17">
        <f>C7-G7</f>
        <v>-1839</v>
      </c>
      <c r="K7" s="17"/>
    </row>
    <row r="8" ht="20.05" customHeight="1">
      <c r="B8" s="35">
        <v>2016</v>
      </c>
      <c r="C8" s="16">
        <v>495.4</v>
      </c>
      <c r="D8" s="17">
        <v>3392.5</v>
      </c>
      <c r="E8" s="17">
        <f>D8-C8</f>
        <v>2897.1</v>
      </c>
      <c r="F8" s="17"/>
      <c r="G8" s="17">
        <v>2420</v>
      </c>
      <c r="H8" s="17">
        <v>973</v>
      </c>
      <c r="I8" s="17">
        <f>G8+H8-C8-E8</f>
        <v>0.5</v>
      </c>
      <c r="J8" s="23">
        <f>C8-G8</f>
        <v>-1924.6</v>
      </c>
      <c r="K8" s="17"/>
    </row>
    <row r="9" ht="20.05" customHeight="1">
      <c r="B9" s="31"/>
      <c r="C9" s="16">
        <v>537.7</v>
      </c>
      <c r="D9" s="17">
        <v>3634.8</v>
      </c>
      <c r="E9" s="17">
        <f>D9-C9</f>
        <v>3097.1</v>
      </c>
      <c r="F9" s="17"/>
      <c r="G9" s="17">
        <v>2718</v>
      </c>
      <c r="H9" s="17">
        <v>917</v>
      </c>
      <c r="I9" s="17">
        <f>G9+H9-C9-E9</f>
        <v>0.2</v>
      </c>
      <c r="J9" s="23">
        <f>C9-G9</f>
        <v>-2180.3</v>
      </c>
      <c r="K9" s="17"/>
    </row>
    <row r="10" ht="20.05" customHeight="1">
      <c r="B10" s="31"/>
      <c r="C10" s="16">
        <v>462.6</v>
      </c>
      <c r="D10" s="17">
        <v>3576.5</v>
      </c>
      <c r="E10" s="17">
        <f>D10-C10</f>
        <v>3113.9</v>
      </c>
      <c r="F10" s="17"/>
      <c r="G10" s="17">
        <v>2639</v>
      </c>
      <c r="H10" s="17">
        <v>938</v>
      </c>
      <c r="I10" s="17">
        <f>G10+H10-C10-E10</f>
        <v>0.5</v>
      </c>
      <c r="J10" s="23">
        <f>C10-G10</f>
        <v>-2176.4</v>
      </c>
      <c r="K10" s="17"/>
    </row>
    <row r="11" ht="20.05" customHeight="1">
      <c r="B11" s="31"/>
      <c r="C11" s="16">
        <v>578.7</v>
      </c>
      <c r="D11" s="17">
        <v>3737.5</v>
      </c>
      <c r="E11" s="17">
        <f>D11-C11</f>
        <v>3158.8</v>
      </c>
      <c r="F11" s="17"/>
      <c r="G11" s="17">
        <v>2728</v>
      </c>
      <c r="H11" s="17">
        <v>1010</v>
      </c>
      <c r="I11" s="17">
        <f>G11+H11-C11-E11</f>
        <v>0.5</v>
      </c>
      <c r="J11" s="23">
        <f>C11-G11</f>
        <v>-2149.3</v>
      </c>
      <c r="K11" s="17"/>
    </row>
    <row r="12" ht="20.05" customHeight="1">
      <c r="B12" s="35">
        <v>2017</v>
      </c>
      <c r="C12" s="16">
        <v>548.9</v>
      </c>
      <c r="D12" s="17">
        <v>3886.5</v>
      </c>
      <c r="E12" s="17">
        <f>D12-C12</f>
        <v>3337.6</v>
      </c>
      <c r="F12" s="17"/>
      <c r="G12" s="17">
        <v>2973</v>
      </c>
      <c r="H12" s="17">
        <v>913</v>
      </c>
      <c r="I12" s="17">
        <f>G12+H12-C12-E12</f>
        <v>-0.5</v>
      </c>
      <c r="J12" s="23">
        <f>C12-G12</f>
        <v>-2424.1</v>
      </c>
      <c r="K12" s="17"/>
    </row>
    <row r="13" ht="20.05" customHeight="1">
      <c r="B13" s="31"/>
      <c r="C13" s="16">
        <v>380.5</v>
      </c>
      <c r="D13" s="17">
        <v>3772.2</v>
      </c>
      <c r="E13" s="17">
        <f>D13-C13</f>
        <v>3391.7</v>
      </c>
      <c r="F13" s="17"/>
      <c r="G13" s="17">
        <v>3054</v>
      </c>
      <c r="H13" s="17">
        <v>718</v>
      </c>
      <c r="I13" s="17">
        <f>G13+H13-C13-E13</f>
        <v>-0.2</v>
      </c>
      <c r="J13" s="23">
        <f>C13-G13</f>
        <v>-2673.5</v>
      </c>
      <c r="K13" s="17"/>
    </row>
    <row r="14" ht="20.05" customHeight="1">
      <c r="B14" s="31"/>
      <c r="C14" s="16">
        <v>387.5</v>
      </c>
      <c r="D14" s="17">
        <v>3723.9</v>
      </c>
      <c r="E14" s="17">
        <f>D14-C14</f>
        <v>3336.4</v>
      </c>
      <c r="F14" s="17"/>
      <c r="G14" s="17">
        <v>2921</v>
      </c>
      <c r="H14" s="17">
        <v>803</v>
      </c>
      <c r="I14" s="17">
        <f>G14+H14-C14-E14</f>
        <v>0.1</v>
      </c>
      <c r="J14" s="23">
        <f>C14-G14</f>
        <v>-2533.5</v>
      </c>
      <c r="K14" s="17"/>
    </row>
    <row r="15" ht="20.05" customHeight="1">
      <c r="B15" s="31"/>
      <c r="C15" s="16">
        <v>306.9</v>
      </c>
      <c r="D15" s="17">
        <v>3763.3</v>
      </c>
      <c r="E15" s="17">
        <f>D15-C15</f>
        <v>3456.4</v>
      </c>
      <c r="F15" s="17"/>
      <c r="G15" s="17">
        <v>2825</v>
      </c>
      <c r="H15" s="17">
        <v>937</v>
      </c>
      <c r="I15" s="17">
        <f>G15+H15-C15-E15</f>
        <v>-1.3</v>
      </c>
      <c r="J15" s="23">
        <f>C15-G15</f>
        <v>-2518.1</v>
      </c>
      <c r="K15" s="17"/>
    </row>
    <row r="16" ht="20.05" customHeight="1">
      <c r="B16" s="35">
        <v>2018</v>
      </c>
      <c r="C16" s="16">
        <v>305.1</v>
      </c>
      <c r="D16" s="17">
        <v>3952.6</v>
      </c>
      <c r="E16" s="17">
        <f>D16-C16</f>
        <v>3647.5</v>
      </c>
      <c r="F16" s="17"/>
      <c r="G16" s="17">
        <v>3083</v>
      </c>
      <c r="H16" s="17">
        <v>870</v>
      </c>
      <c r="I16" s="17">
        <f>G16+H16-C16-E16</f>
        <v>0.4</v>
      </c>
      <c r="J16" s="23">
        <f>C16-G16</f>
        <v>-2777.9</v>
      </c>
      <c r="K16" s="17"/>
    </row>
    <row r="17" ht="20.05" customHeight="1">
      <c r="B17" s="31"/>
      <c r="C17" s="16">
        <v>301.9</v>
      </c>
      <c r="D17" s="17">
        <v>4015.8</v>
      </c>
      <c r="E17" s="17">
        <f>D17-C17</f>
        <v>3713.9</v>
      </c>
      <c r="F17" s="17"/>
      <c r="G17" s="17">
        <v>3196</v>
      </c>
      <c r="H17" s="17">
        <v>819</v>
      </c>
      <c r="I17" s="17">
        <f>G17+H17-C17-E17</f>
        <v>-0.8</v>
      </c>
      <c r="J17" s="23">
        <f>C17-G17</f>
        <v>-2894.1</v>
      </c>
      <c r="K17" s="17"/>
    </row>
    <row r="18" ht="20.05" customHeight="1">
      <c r="B18" s="31"/>
      <c r="C18" s="16">
        <v>273.3</v>
      </c>
      <c r="D18" s="17">
        <v>4111</v>
      </c>
      <c r="E18" s="17">
        <f>D18-C18</f>
        <v>3837.7</v>
      </c>
      <c r="F18" s="17"/>
      <c r="G18" s="17">
        <v>3301</v>
      </c>
      <c r="H18" s="17">
        <v>808</v>
      </c>
      <c r="I18" s="17">
        <f>G18+H18-C18-E18</f>
        <v>-2</v>
      </c>
      <c r="J18" s="23">
        <f>C18-G18</f>
        <v>-3027.7</v>
      </c>
      <c r="K18" s="17"/>
    </row>
    <row r="19" ht="20.05" customHeight="1">
      <c r="B19" s="31"/>
      <c r="C19" s="16">
        <v>251.2</v>
      </c>
      <c r="D19" s="17">
        <v>4168</v>
      </c>
      <c r="E19" s="17">
        <f>D19-C19</f>
        <v>3916.8</v>
      </c>
      <c r="F19" s="17">
        <v>761</v>
      </c>
      <c r="G19" s="17">
        <v>3437</v>
      </c>
      <c r="H19" s="17">
        <v>730</v>
      </c>
      <c r="I19" s="17">
        <f>G19+H19-C19-E19</f>
        <v>-1</v>
      </c>
      <c r="J19" s="23">
        <f>C19-G19</f>
        <v>-3185.8</v>
      </c>
      <c r="K19" s="17"/>
    </row>
    <row r="20" ht="20.05" customHeight="1">
      <c r="B20" s="35">
        <v>2019</v>
      </c>
      <c r="C20" s="16">
        <v>337</v>
      </c>
      <c r="D20" s="17">
        <v>4329</v>
      </c>
      <c r="E20" s="17">
        <f>D20-C20</f>
        <v>3992</v>
      </c>
      <c r="F20" s="17"/>
      <c r="G20" s="17">
        <v>3538</v>
      </c>
      <c r="H20" s="17">
        <v>791</v>
      </c>
      <c r="I20" s="17">
        <f>G20+H20-C20-E20</f>
        <v>0</v>
      </c>
      <c r="J20" s="17">
        <f>C20-G20</f>
        <v>-3201</v>
      </c>
      <c r="K20" s="17"/>
    </row>
    <row r="21" ht="20.05" customHeight="1">
      <c r="B21" s="31"/>
      <c r="C21" s="16">
        <v>322</v>
      </c>
      <c r="D21" s="17">
        <v>4377</v>
      </c>
      <c r="E21" s="17">
        <f>D21-C21</f>
        <v>4055</v>
      </c>
      <c r="F21" s="17">
        <f>815+4.4</f>
        <v>819.4</v>
      </c>
      <c r="G21" s="17">
        <v>3568</v>
      </c>
      <c r="H21" s="17">
        <v>808</v>
      </c>
      <c r="I21" s="17">
        <f>G21+H21-C21-E21</f>
        <v>-1</v>
      </c>
      <c r="J21" s="17">
        <f>C21-G21</f>
        <v>-3246</v>
      </c>
      <c r="K21" s="17"/>
    </row>
    <row r="22" ht="20.05" customHeight="1">
      <c r="B22" s="31"/>
      <c r="C22" s="16">
        <v>346</v>
      </c>
      <c r="D22" s="17">
        <v>4416</v>
      </c>
      <c r="E22" s="17">
        <f>D22-C22</f>
        <v>4070</v>
      </c>
      <c r="F22" s="17">
        <v>850</v>
      </c>
      <c r="G22" s="17">
        <v>3505</v>
      </c>
      <c r="H22" s="17">
        <v>911</v>
      </c>
      <c r="I22" s="17">
        <f>G22+H22-C22-E22</f>
        <v>0</v>
      </c>
      <c r="J22" s="17">
        <f>C22-G22</f>
        <v>-3159</v>
      </c>
      <c r="K22" s="17"/>
    </row>
    <row r="23" ht="20.05" customHeight="1">
      <c r="B23" s="31"/>
      <c r="C23" s="16">
        <v>299</v>
      </c>
      <c r="D23" s="17">
        <v>4456</v>
      </c>
      <c r="E23" s="17">
        <f>D23-C23</f>
        <v>4157</v>
      </c>
      <c r="F23" s="17">
        <f>834</f>
        <v>834</v>
      </c>
      <c r="G23" s="17">
        <v>3735</v>
      </c>
      <c r="H23" s="17">
        <v>721</v>
      </c>
      <c r="I23" s="17">
        <f>G23+H23-C23-E23</f>
        <v>0</v>
      </c>
      <c r="J23" s="17">
        <f>C23-G23</f>
        <v>-3436</v>
      </c>
      <c r="K23" s="17"/>
    </row>
    <row r="24" ht="20.05" customHeight="1">
      <c r="B24" s="35">
        <v>2020</v>
      </c>
      <c r="C24" s="16">
        <v>163</v>
      </c>
      <c r="D24" s="17">
        <v>9145</v>
      </c>
      <c r="E24" s="17">
        <f>D24-C24</f>
        <v>8982</v>
      </c>
      <c r="F24" s="17">
        <v>1014</v>
      </c>
      <c r="G24" s="17">
        <v>8644</v>
      </c>
      <c r="H24" s="17">
        <v>501</v>
      </c>
      <c r="I24" s="17">
        <f>G24+H24-C24-E24</f>
        <v>0</v>
      </c>
      <c r="J24" s="17">
        <f>C24-G24</f>
        <v>-8481</v>
      </c>
      <c r="K24" s="17"/>
    </row>
    <row r="25" ht="20.05" customHeight="1">
      <c r="B25" s="31"/>
      <c r="C25" s="16">
        <v>165</v>
      </c>
      <c r="D25" s="17">
        <v>10287</v>
      </c>
      <c r="E25" s="17">
        <f>D25-C25</f>
        <v>10122</v>
      </c>
      <c r="F25" s="17">
        <v>1360</v>
      </c>
      <c r="G25" s="17">
        <v>10368</v>
      </c>
      <c r="H25" s="17">
        <v>-81</v>
      </c>
      <c r="I25" s="17">
        <f>G25+H25-C25-E25</f>
        <v>0</v>
      </c>
      <c r="J25" s="17">
        <f>C25-G25</f>
        <v>-10203</v>
      </c>
      <c r="K25" s="17"/>
    </row>
    <row r="26" ht="20.05" customHeight="1">
      <c r="B26" s="31"/>
      <c r="C26" s="16">
        <v>170</v>
      </c>
      <c r="D26" s="17">
        <v>9905</v>
      </c>
      <c r="E26" s="17">
        <f>D26-C26</f>
        <v>9735</v>
      </c>
      <c r="F26" s="17">
        <f>1637</f>
        <v>1637</v>
      </c>
      <c r="G26" s="17">
        <v>10361</v>
      </c>
      <c r="H26" s="17">
        <v>-456</v>
      </c>
      <c r="I26" s="17">
        <f>G26+H26-C26-E26</f>
        <v>0</v>
      </c>
      <c r="J26" s="17">
        <f>C26-G26</f>
        <v>-10191</v>
      </c>
      <c r="K26" s="17"/>
    </row>
    <row r="27" ht="20.05" customHeight="1">
      <c r="B27" s="31"/>
      <c r="C27" s="16">
        <v>201</v>
      </c>
      <c r="D27" s="17">
        <v>10790</v>
      </c>
      <c r="E27" s="17">
        <f>D27-C27</f>
        <v>10589</v>
      </c>
      <c r="F27" s="17">
        <f>2231</f>
        <v>2231</v>
      </c>
      <c r="G27" s="17">
        <v>12733</v>
      </c>
      <c r="H27" s="17">
        <v>-1943</v>
      </c>
      <c r="I27" s="17">
        <f>G27+H27-C27-E27</f>
        <v>0</v>
      </c>
      <c r="J27" s="17">
        <f>C27-G27</f>
        <v>-12532</v>
      </c>
      <c r="K27" s="17"/>
    </row>
    <row r="28" ht="20.05" customHeight="1">
      <c r="B28" s="35">
        <v>2021</v>
      </c>
      <c r="C28" s="16">
        <v>166</v>
      </c>
      <c r="D28" s="17">
        <v>10579</v>
      </c>
      <c r="E28" s="17">
        <f>D28-C28</f>
        <v>10413</v>
      </c>
      <c r="F28" s="17">
        <v>2569</v>
      </c>
      <c r="G28" s="17">
        <v>12901</v>
      </c>
      <c r="H28" s="17">
        <v>-2322</v>
      </c>
      <c r="I28" s="17">
        <f>G28+H28-C28-E28</f>
        <v>0</v>
      </c>
      <c r="J28" s="17">
        <f>C28-G28</f>
        <v>-12735</v>
      </c>
      <c r="K28" s="17"/>
    </row>
    <row r="29" ht="20.05" customHeight="1">
      <c r="B29" s="31"/>
      <c r="C29" s="16">
        <v>79</v>
      </c>
      <c r="D29" s="17">
        <v>10115</v>
      </c>
      <c r="E29" s="17">
        <f>D29-C29</f>
        <v>10036</v>
      </c>
      <c r="F29" s="17">
        <f>2820</f>
        <v>2820</v>
      </c>
      <c r="G29" s="17">
        <v>12963</v>
      </c>
      <c r="H29" s="17">
        <v>-2848</v>
      </c>
      <c r="I29" s="17">
        <f>G29+H29-C29-E29</f>
        <v>0</v>
      </c>
      <c r="J29" s="17">
        <f>C29-G29</f>
        <v>-12884</v>
      </c>
      <c r="K29" s="17"/>
    </row>
    <row r="30" ht="20.05" customHeight="1">
      <c r="B30" s="31"/>
      <c r="C30" s="16">
        <v>42</v>
      </c>
      <c r="D30" s="17">
        <v>9422</v>
      </c>
      <c r="E30" s="17">
        <f>D30-C30</f>
        <v>9380</v>
      </c>
      <c r="F30" s="17">
        <f>2999</f>
        <v>2999</v>
      </c>
      <c r="G30" s="17">
        <v>13027</v>
      </c>
      <c r="H30" s="17">
        <v>-3605</v>
      </c>
      <c r="I30" s="17">
        <f>G30+H30-C30-E30</f>
        <v>0</v>
      </c>
      <c r="J30" s="17">
        <f>C30-G30</f>
        <v>-12985</v>
      </c>
      <c r="K30" s="17">
        <f>J30</f>
        <v>-12985</v>
      </c>
    </row>
    <row r="31" ht="20.05" customHeight="1">
      <c r="B31" s="31"/>
      <c r="C31" s="16"/>
      <c r="D31" s="17"/>
      <c r="E31" s="17"/>
      <c r="F31" s="17"/>
      <c r="G31" s="17"/>
      <c r="H31" s="17"/>
      <c r="I31" s="17"/>
      <c r="J31" s="17"/>
      <c r="K31" s="17">
        <f>'Model'!F31</f>
        <v>-12940.8041610144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8"/>
  <sheetViews>
    <sheetView workbookViewId="0" showGridLines="0" defaultGridColor="1"/>
  </sheetViews>
  <sheetFormatPr defaultColWidth="8.33333" defaultRowHeight="19.9" customHeight="1" outlineLevelRow="0" outlineLevelCol="0"/>
  <cols>
    <col min="1" max="1" width="19.8984" style="46" customWidth="1"/>
    <col min="2" max="2" width="7.09375" style="46" customWidth="1"/>
    <col min="3" max="4" width="7.42969" style="46" customWidth="1"/>
    <col min="5" max="16384" width="8.35156" style="46" customWidth="1"/>
  </cols>
  <sheetData>
    <row r="1" ht="101.15" customHeight="1"/>
    <row r="2" ht="27.65" customHeight="1">
      <c r="B2" t="s" s="2">
        <v>59</v>
      </c>
      <c r="C2" s="2"/>
      <c r="D2" s="2"/>
    </row>
    <row r="3" ht="20.25" customHeight="1">
      <c r="B3" s="47"/>
      <c r="C3" t="s" s="48">
        <v>60</v>
      </c>
      <c r="D3" t="s" s="48">
        <v>61</v>
      </c>
    </row>
    <row r="4" ht="20.05" customHeight="1">
      <c r="B4" s="49">
        <v>2016</v>
      </c>
      <c r="C4" s="50">
        <v>440</v>
      </c>
      <c r="D4" s="51"/>
    </row>
    <row r="5" ht="20.05" customHeight="1">
      <c r="B5" s="52"/>
      <c r="C5" s="53">
        <v>474</v>
      </c>
      <c r="D5" s="54"/>
    </row>
    <row r="6" ht="20.05" customHeight="1">
      <c r="B6" s="52"/>
      <c r="C6" s="53">
        <v>428</v>
      </c>
      <c r="D6" s="54"/>
    </row>
    <row r="7" ht="20.05" customHeight="1">
      <c r="B7" s="52"/>
      <c r="C7" s="53">
        <v>338</v>
      </c>
      <c r="D7" s="54"/>
    </row>
    <row r="8" ht="20.05" customHeight="1">
      <c r="B8" s="55">
        <v>2017</v>
      </c>
      <c r="C8" s="53">
        <v>342</v>
      </c>
      <c r="D8" s="54"/>
    </row>
    <row r="9" ht="20.05" customHeight="1">
      <c r="B9" s="52"/>
      <c r="C9" s="53">
        <v>348</v>
      </c>
      <c r="D9" s="54"/>
    </row>
    <row r="10" ht="20.05" customHeight="1">
      <c r="B10" s="52"/>
      <c r="C10" s="53">
        <v>334</v>
      </c>
      <c r="D10" s="54"/>
    </row>
    <row r="11" ht="20.05" customHeight="1">
      <c r="B11" s="52"/>
      <c r="C11" s="53">
        <v>300</v>
      </c>
      <c r="D11" s="54"/>
    </row>
    <row r="12" ht="20.05" customHeight="1">
      <c r="B12" s="55">
        <v>2018</v>
      </c>
      <c r="C12" s="53">
        <v>294</v>
      </c>
      <c r="D12" s="54"/>
    </row>
    <row r="13" ht="20.05" customHeight="1">
      <c r="B13" s="52"/>
      <c r="C13" s="53">
        <v>242</v>
      </c>
      <c r="D13" s="54"/>
    </row>
    <row r="14" ht="20.05" customHeight="1">
      <c r="B14" s="52"/>
      <c r="C14" s="53">
        <v>206</v>
      </c>
      <c r="D14" s="54"/>
    </row>
    <row r="15" ht="20.05" customHeight="1">
      <c r="B15" s="52"/>
      <c r="C15" s="53">
        <v>298</v>
      </c>
      <c r="D15" s="54"/>
    </row>
    <row r="16" ht="20.05" customHeight="1">
      <c r="B16" s="55">
        <v>2019</v>
      </c>
      <c r="C16" s="53">
        <v>474</v>
      </c>
      <c r="D16" s="54"/>
    </row>
    <row r="17" ht="20.05" customHeight="1">
      <c r="B17" s="52"/>
      <c r="C17" s="53">
        <v>366</v>
      </c>
      <c r="D17" s="54"/>
    </row>
    <row r="18" ht="20.05" customHeight="1">
      <c r="B18" s="52"/>
      <c r="C18" s="53">
        <v>510</v>
      </c>
      <c r="D18" s="54"/>
    </row>
    <row r="19" ht="20.05" customHeight="1">
      <c r="B19" s="52"/>
      <c r="C19" s="56">
        <v>498</v>
      </c>
      <c r="D19" s="54"/>
    </row>
    <row r="20" ht="20.05" customHeight="1">
      <c r="B20" s="55">
        <v>2020</v>
      </c>
      <c r="C20" s="56">
        <v>181</v>
      </c>
      <c r="D20" s="54"/>
    </row>
    <row r="21" ht="20.05" customHeight="1">
      <c r="B21" s="52"/>
      <c r="C21" s="56">
        <v>246</v>
      </c>
      <c r="D21" s="54"/>
    </row>
    <row r="22" ht="20.05" customHeight="1">
      <c r="B22" s="52"/>
      <c r="C22" s="53">
        <v>214</v>
      </c>
      <c r="D22" s="54"/>
    </row>
    <row r="23" ht="20.05" customHeight="1">
      <c r="B23" s="52"/>
      <c r="C23" s="53">
        <v>404</v>
      </c>
      <c r="D23" s="54"/>
    </row>
    <row r="24" ht="20.05" customHeight="1">
      <c r="B24" s="55">
        <v>2021</v>
      </c>
      <c r="C24" s="53">
        <v>332</v>
      </c>
      <c r="D24" s="54"/>
    </row>
    <row r="25" ht="20.05" customHeight="1">
      <c r="B25" s="52"/>
      <c r="C25" s="53">
        <v>222</v>
      </c>
      <c r="D25" s="54"/>
    </row>
    <row r="26" ht="20.05" customHeight="1">
      <c r="B26" s="52"/>
      <c r="C26" s="53">
        <v>222</v>
      </c>
      <c r="D26" s="54"/>
    </row>
    <row r="27" ht="20.05" customHeight="1">
      <c r="B27" s="52"/>
      <c r="C27" s="53">
        <v>222</v>
      </c>
      <c r="D27" s="57">
        <f>C27</f>
        <v>222</v>
      </c>
    </row>
    <row r="28" ht="20.05" customHeight="1">
      <c r="B28" s="52"/>
      <c r="C28" s="58"/>
      <c r="D28" s="57">
        <f>'Model'!F45</f>
        <v>276.051348893478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