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 " sheetId="4" r:id="rId7"/>
    <sheet name="Share Price " sheetId="5" r:id="rId8"/>
  </sheets>
</workbook>
</file>

<file path=xl/sharedStrings.xml><?xml version="1.0" encoding="utf-8"?>
<sst xmlns="http://schemas.openxmlformats.org/spreadsheetml/2006/main" uniqueCount="60">
  <si>
    <t>Financial model</t>
  </si>
  <si>
    <t>$m</t>
  </si>
  <si>
    <t xml:space="preserve"> 4 2021</t>
  </si>
  <si>
    <t>Cashflow</t>
  </si>
  <si>
    <t>Growth</t>
  </si>
  <si>
    <t>Sales</t>
  </si>
  <si>
    <t>Cost ratio</t>
  </si>
  <si>
    <t xml:space="preserve">Cash costs </t>
  </si>
  <si>
    <t xml:space="preserve">Operating </t>
  </si>
  <si>
    <t>Investment</t>
  </si>
  <si>
    <t>Finance</t>
  </si>
  <si>
    <t xml:space="preserve">Liabilities </t>
  </si>
  <si>
    <t xml:space="preserve">Equity </t>
  </si>
  <si>
    <t xml:space="preserve">Before revolver </t>
  </si>
  <si>
    <t xml:space="preserve">Revolver </t>
  </si>
  <si>
    <t>Beginning</t>
  </si>
  <si>
    <t xml:space="preserve">Change </t>
  </si>
  <si>
    <t xml:space="preserve">Ending </t>
  </si>
  <si>
    <t xml:space="preserve">Profit </t>
  </si>
  <si>
    <t xml:space="preserve">Non cash costs </t>
  </si>
  <si>
    <t xml:space="preserve">Net profit </t>
  </si>
  <si>
    <t xml:space="preserve">Balance Sheet </t>
  </si>
  <si>
    <t xml:space="preserve">Other assets </t>
  </si>
  <si>
    <t xml:space="preserve">Depreciation </t>
  </si>
  <si>
    <t xml:space="preserve">Net other assets </t>
  </si>
  <si>
    <t>Check</t>
  </si>
  <si>
    <t xml:space="preserve">Net cash </t>
  </si>
  <si>
    <t xml:space="preserve">Valuation </t>
  </si>
  <si>
    <t xml:space="preserve">Rupiah </t>
  </si>
  <si>
    <t xml:space="preserve">Capital </t>
  </si>
  <si>
    <t xml:space="preserve">Current value </t>
  </si>
  <si>
    <t>P/assets</t>
  </si>
  <si>
    <t xml:space="preserve">Yield </t>
  </si>
  <si>
    <t xml:space="preserve">Payback </t>
  </si>
  <si>
    <t xml:space="preserve">Forecast </t>
  </si>
  <si>
    <t xml:space="preserve">Value </t>
  </si>
  <si>
    <t>Shares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</si>
  <si>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</si>
  <si>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</si>
  <si>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</si>
  <si>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</si>
  <si>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forecasts </t>
  </si>
  <si>
    <t xml:space="preserve">Net income </t>
  </si>
  <si>
    <t xml:space="preserve">Sales growth </t>
  </si>
  <si>
    <t xml:space="preserve">Cost ratio </t>
  </si>
  <si>
    <t>Cashflow costs</t>
  </si>
  <si>
    <t xml:space="preserve">Receipts </t>
  </si>
  <si>
    <t>Interest payment</t>
  </si>
  <si>
    <t xml:space="preserve">Investment </t>
  </si>
  <si>
    <t xml:space="preserve">Free cashflow </t>
  </si>
  <si>
    <t>Quarters</t>
  </si>
  <si>
    <t>Balance sheet</t>
  </si>
  <si>
    <t xml:space="preserve">  Cash</t>
  </si>
  <si>
    <t xml:space="preserve">Assets </t>
  </si>
  <si>
    <t>Other assets</t>
  </si>
  <si>
    <t xml:space="preserve">Check </t>
  </si>
  <si>
    <t>Goodyear Indonesia Tbk (GDYR) Historical Prices - Investing.com</t>
  </si>
  <si>
    <t>Date</t>
  </si>
  <si>
    <t>Price</t>
  </si>
  <si>
    <t>Target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</si>
</sst>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_);[Red]\(#,##0%\)"/>
    <numFmt numFmtId="60" formatCode="#,##0%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8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center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horizontal="left" vertical="center" wrapText="1"/>
    </xf>
    <xf numFmtId="59" fontId="0" borderId="3" applyNumberFormat="1" applyFont="1" applyFill="0" applyBorder="1" applyAlignment="1" applyProtection="0">
      <alignment horizontal="right" vertical="center" wrapText="1"/>
    </xf>
    <xf numFmtId="59" fontId="0" borderId="4" applyNumberFormat="1" applyFont="1" applyFill="0" applyBorder="1" applyAlignment="1" applyProtection="0">
      <alignment horizontal="right" vertical="center" wrapText="1"/>
    </xf>
    <xf numFmtId="49" fontId="0" fillId="3" borderId="5" applyNumberFormat="1" applyFont="1" applyFill="1" applyBorder="1" applyAlignment="1" applyProtection="0">
      <alignment horizontal="left" vertical="center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horizontal="right" vertical="center" wrapText="1"/>
    </xf>
    <xf numFmtId="38" fontId="0" borderId="7" applyNumberFormat="1" applyFont="1" applyFill="0" applyBorder="1" applyAlignment="1" applyProtection="0">
      <alignment horizontal="right" vertical="center" wrapText="1"/>
    </xf>
    <xf numFmtId="60" fontId="0" borderId="6" applyNumberFormat="1" applyFont="1" applyFill="0" applyBorder="1" applyAlignment="1" applyProtection="0">
      <alignment horizontal="right" vertical="center" wrapText="1"/>
    </xf>
    <xf numFmtId="60" fontId="0" borderId="7" applyNumberFormat="1" applyFont="1" applyFill="0" applyBorder="1" applyAlignment="1" applyProtection="0">
      <alignment horizontal="right" vertical="center" wrapText="1"/>
    </xf>
    <xf numFmtId="3" fontId="0" borderId="6" applyNumberFormat="1" applyFont="1" applyFill="0" applyBorder="1" applyAlignment="1" applyProtection="0">
      <alignment horizontal="right" vertical="center" wrapText="1"/>
    </xf>
    <xf numFmtId="3" fontId="0" borderId="7" applyNumberFormat="1" applyFont="1" applyFill="0" applyBorder="1" applyAlignment="1" applyProtection="0">
      <alignment horizontal="right" vertical="center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horizontal="left" vertical="center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60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3" borderId="4" applyNumberFormat="1" applyFont="1" applyFill="0" applyBorder="1" applyAlignment="1" applyProtection="0">
      <alignment horizontal="right" vertical="top" wrapText="1"/>
    </xf>
    <xf numFmtId="3" fontId="3" borderId="7" applyNumberFormat="1" applyFont="1" applyFill="0" applyBorder="1" applyAlignment="1" applyProtection="0">
      <alignment horizontal="right" vertical="top" wrapText="1"/>
    </xf>
    <xf numFmtId="0" fontId="0" applyNumberFormat="1" applyFont="1" applyFill="0" applyBorder="0" applyAlignment="1" applyProtection="0">
      <alignment vertical="top"/>
    </xf>
    <xf numFmtId="49" fontId="2" fillId="2" borderId="1" applyNumberFormat="1" applyFont="1" applyFill="1" applyBorder="1" applyAlignment="1" applyProtection="0">
      <alignment vertical="top"/>
    </xf>
    <xf numFmtId="0" fontId="2" fillId="4" borderId="2" applyNumberFormat="1" applyFont="1" applyFill="1" applyBorder="1" applyAlignment="1" applyProtection="0">
      <alignment vertical="top"/>
    </xf>
    <xf numFmtId="3" fontId="0" borderId="3" applyNumberFormat="1" applyFont="1" applyFill="0" applyBorder="1" applyAlignment="1" applyProtection="0">
      <alignment vertical="top"/>
    </xf>
    <xf numFmtId="0" fontId="0" borderId="4" applyNumberFormat="0" applyFont="1" applyFill="0" applyBorder="1" applyAlignment="1" applyProtection="0">
      <alignment vertical="top"/>
    </xf>
    <xf numFmtId="0" fontId="2" fillId="4" borderId="5" applyNumberFormat="0" applyFont="1" applyFill="1" applyBorder="1" applyAlignment="1" applyProtection="0">
      <alignment vertical="top"/>
    </xf>
    <xf numFmtId="3" fontId="0" borderId="6" applyNumberFormat="1" applyFont="1" applyFill="0" applyBorder="1" applyAlignment="1" applyProtection="0">
      <alignment vertical="top"/>
    </xf>
    <xf numFmtId="0" fontId="0" borderId="7" applyNumberFormat="0" applyFont="1" applyFill="0" applyBorder="1" applyAlignment="1" applyProtection="0">
      <alignment vertical="top"/>
    </xf>
    <xf numFmtId="0" fontId="2" fillId="4" borderId="5" applyNumberFormat="1" applyFont="1" applyFill="1" applyBorder="1" applyAlignment="1" applyProtection="0">
      <alignment vertical="top"/>
    </xf>
    <xf numFmtId="3" fontId="0" borderId="7" applyNumberFormat="1" applyFont="1" applyFill="0" applyBorder="1" applyAlignment="1" applyProtection="0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917146</xdr:colOff>
      <xdr:row>2</xdr:row>
      <xdr:rowOff>112978</xdr:rowOff>
    </xdr:from>
    <xdr:to>
      <xdr:col>13</xdr:col>
      <xdr:colOff>557264</xdr:colOff>
      <xdr:row>46</xdr:row>
      <xdr:rowOff>224238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628846" y="714958"/>
          <a:ext cx="8352319" cy="1132028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9.39062" style="1" customWidth="1"/>
    <col min="2" max="2" width="16.4375" style="1" customWidth="1"/>
    <col min="3" max="6" width="8.94531" style="1" customWidth="1"/>
    <col min="7" max="16384" width="16.3516" style="1" customWidth="1"/>
  </cols>
  <sheetData>
    <row r="1" ht="19.75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t="s" s="4">
        <v>2</v>
      </c>
      <c r="D3" s="5"/>
      <c r="E3" s="5"/>
      <c r="F3" s="5"/>
    </row>
    <row r="4" ht="20.25" customHeight="1">
      <c r="B4" t="s" s="6">
        <v>3</v>
      </c>
      <c r="C4" s="7">
        <f>AVERAGE('Sales'!G27:G30)</f>
        <v>0.0724666239493534</v>
      </c>
      <c r="D4" s="8"/>
      <c r="E4" s="8"/>
      <c r="F4" s="8">
        <f>AVERAGE(C5:F5)</f>
        <v>0.04</v>
      </c>
    </row>
    <row r="5" ht="20.05" customHeight="1">
      <c r="B5" t="s" s="9">
        <v>4</v>
      </c>
      <c r="C5" s="10">
        <v>0.07000000000000001</v>
      </c>
      <c r="D5" s="11">
        <v>-0.01</v>
      </c>
      <c r="E5" s="11">
        <v>0.05</v>
      </c>
      <c r="F5" s="11">
        <v>0.05</v>
      </c>
    </row>
    <row r="6" ht="20.05" customHeight="1">
      <c r="B6" t="s" s="9">
        <v>5</v>
      </c>
      <c r="C6" s="12">
        <f>'Sales'!C30*(1+C5)</f>
        <v>39.162</v>
      </c>
      <c r="D6" s="13">
        <f>C6*(1+D5)</f>
        <v>38.77038</v>
      </c>
      <c r="E6" s="13">
        <f>D6*(1+E5)</f>
        <v>40.708899</v>
      </c>
      <c r="F6" s="13">
        <f>E6*(1+F5)</f>
        <v>42.74434395</v>
      </c>
    </row>
    <row r="7" ht="20.05" customHeight="1">
      <c r="B7" t="s" s="9">
        <v>6</v>
      </c>
      <c r="C7" s="14">
        <f>AVERAGE('Sales'!H28:H30)</f>
        <v>-0.93125413311802</v>
      </c>
      <c r="D7" s="15">
        <f>C7</f>
        <v>-0.93125413311802</v>
      </c>
      <c r="E7" s="15">
        <f>D7</f>
        <v>-0.93125413311802</v>
      </c>
      <c r="F7" s="15">
        <f>E7</f>
        <v>-0.93125413311802</v>
      </c>
    </row>
    <row r="8" ht="20.05" customHeight="1">
      <c r="B8" t="s" s="9">
        <v>7</v>
      </c>
      <c r="C8" s="16">
        <f>C6*C7</f>
        <v>-36.4697743611679</v>
      </c>
      <c r="D8" s="17">
        <f>D6*D7</f>
        <v>-36.1050766175562</v>
      </c>
      <c r="E8" s="17">
        <f>E6*E7</f>
        <v>-37.910330448434</v>
      </c>
      <c r="F8" s="17">
        <f>F6*F7</f>
        <v>-39.8058469708557</v>
      </c>
    </row>
    <row r="9" ht="20.05" customHeight="1">
      <c r="B9" t="s" s="9">
        <v>8</v>
      </c>
      <c r="C9" s="18">
        <f>C6+C8</f>
        <v>2.6922256388321</v>
      </c>
      <c r="D9" s="19">
        <f>D6+D8</f>
        <v>2.6653033824438</v>
      </c>
      <c r="E9" s="19">
        <f>E6+E8</f>
        <v>2.798568551566</v>
      </c>
      <c r="F9" s="19">
        <f>F6+F8</f>
        <v>2.9384969791443</v>
      </c>
    </row>
    <row r="10" ht="20.05" customHeight="1">
      <c r="B10" t="s" s="9">
        <v>9</v>
      </c>
      <c r="C10" s="16">
        <f>AVERAGE('Cashflow'!F29)</f>
        <v>-1.4</v>
      </c>
      <c r="D10" s="17">
        <f>C10</f>
        <v>-1.4</v>
      </c>
      <c r="E10" s="17">
        <f>D10</f>
        <v>-1.4</v>
      </c>
      <c r="F10" s="17">
        <f>E10</f>
        <v>-1.4</v>
      </c>
    </row>
    <row r="11" ht="20.05" customHeight="1">
      <c r="B11" t="s" s="9">
        <v>10</v>
      </c>
      <c r="C11" s="16">
        <f>C12+C13+C15</f>
        <v>-1.2922256388321</v>
      </c>
      <c r="D11" s="17">
        <f>D12+D13+D15</f>
        <v>-1.2653033824438</v>
      </c>
      <c r="E11" s="17">
        <f>E12+E13+E15</f>
        <v>-1.398568551566</v>
      </c>
      <c r="F11" s="17">
        <f>F12+F13+F15</f>
        <v>-1.5384969791443</v>
      </c>
    </row>
    <row r="12" ht="20.05" customHeight="1">
      <c r="B12" t="s" s="9">
        <v>11</v>
      </c>
      <c r="C12" s="16">
        <f>-('Balance Sheet '!F24)/20</f>
        <v>-3.55</v>
      </c>
      <c r="D12" s="17">
        <f>-C26/20</f>
        <v>-3.3725</v>
      </c>
      <c r="E12" s="17">
        <f>-D26/20</f>
        <v>-3.203875</v>
      </c>
      <c r="F12" s="17">
        <f>-E26/20</f>
        <v>-3.04368125</v>
      </c>
    </row>
    <row r="13" ht="20.05" customHeight="1">
      <c r="B13" t="s" s="9">
        <v>12</v>
      </c>
      <c r="C13" s="16">
        <f>IF(C21&gt;0,-C21*0.3,0)</f>
        <v>-0.14766769164963</v>
      </c>
      <c r="D13" s="17">
        <f>IF(D21&gt;0,-D21*0.3,0)</f>
        <v>-0.13959101473314</v>
      </c>
      <c r="E13" s="17">
        <f>IF(E21&gt;0,-E21*0.3,0)</f>
        <v>-0.1795705654698</v>
      </c>
      <c r="F13" s="17">
        <f>IF(F21&gt;0,-F21*0.3,0)</f>
        <v>-0.22154909374329</v>
      </c>
    </row>
    <row r="14" ht="20.05" customHeight="1">
      <c r="B14" t="s" s="9">
        <v>13</v>
      </c>
      <c r="C14" s="16">
        <f>C9+C10+C12+C13</f>
        <v>-2.40544205281753</v>
      </c>
      <c r="D14" s="17">
        <f>D9+D10+D12+D13</f>
        <v>-2.24678763228934</v>
      </c>
      <c r="E14" s="17">
        <f>E9+E10+E12+E13</f>
        <v>-1.9848770139038</v>
      </c>
      <c r="F14" s="17">
        <f>F9+F10+F12+F13</f>
        <v>-1.72673336459899</v>
      </c>
    </row>
    <row r="15" ht="20.05" customHeight="1">
      <c r="B15" t="s" s="9">
        <v>14</v>
      </c>
      <c r="C15" s="16">
        <f>-MIN(0,C14)</f>
        <v>2.40544205281753</v>
      </c>
      <c r="D15" s="17">
        <f>-MIN(C27,D14)</f>
        <v>2.24678763228934</v>
      </c>
      <c r="E15" s="17">
        <f>-MIN(D27,E14)</f>
        <v>1.9848770139038</v>
      </c>
      <c r="F15" s="17">
        <f>-MIN(E27,F14)</f>
        <v>1.72673336459899</v>
      </c>
    </row>
    <row r="16" ht="20.05" customHeight="1">
      <c r="B16" t="s" s="9">
        <v>15</v>
      </c>
      <c r="C16" s="16">
        <f>'Balance Sheet '!B24</f>
        <v>17</v>
      </c>
      <c r="D16" s="17">
        <f>C18</f>
        <v>17</v>
      </c>
      <c r="E16" s="17">
        <f>D18</f>
        <v>17</v>
      </c>
      <c r="F16" s="17">
        <f>E18</f>
        <v>17</v>
      </c>
    </row>
    <row r="17" ht="20.05" customHeight="1">
      <c r="B17" t="s" s="9">
        <v>16</v>
      </c>
      <c r="C17" s="16">
        <f>C9+C10+C11</f>
        <v>0</v>
      </c>
      <c r="D17" s="17">
        <f>D9+D10+D11</f>
        <v>0</v>
      </c>
      <c r="E17" s="17">
        <f>E9+E10+E11</f>
        <v>0</v>
      </c>
      <c r="F17" s="17">
        <f>F9+F10+F11</f>
        <v>0</v>
      </c>
    </row>
    <row r="18" ht="20.05" customHeight="1">
      <c r="B18" t="s" s="9">
        <v>17</v>
      </c>
      <c r="C18" s="16">
        <f>C16+C17</f>
        <v>17</v>
      </c>
      <c r="D18" s="17">
        <f>D16+D17</f>
        <v>17</v>
      </c>
      <c r="E18" s="17">
        <f>E16+E17</f>
        <v>17</v>
      </c>
      <c r="F18" s="17">
        <f>F16+F17</f>
        <v>17</v>
      </c>
    </row>
    <row r="19" ht="20.05" customHeight="1">
      <c r="B19" t="s" s="20">
        <v>18</v>
      </c>
      <c r="C19" s="21"/>
      <c r="D19" s="22"/>
      <c r="E19" s="22"/>
      <c r="F19" s="19">
        <f>SUM(C13:F13)</f>
        <v>-0.68837836559586</v>
      </c>
    </row>
    <row r="20" ht="20.05" customHeight="1">
      <c r="B20" t="s" s="9">
        <v>19</v>
      </c>
      <c r="C20" s="16">
        <f>-AVERAGE('Sales'!E29)</f>
        <v>-2.2</v>
      </c>
      <c r="D20" s="17">
        <f>C20</f>
        <v>-2.2</v>
      </c>
      <c r="E20" s="17">
        <f>D20</f>
        <v>-2.2</v>
      </c>
      <c r="F20" s="17">
        <f>E20</f>
        <v>-2.2</v>
      </c>
    </row>
    <row r="21" ht="20.05" customHeight="1">
      <c r="B21" t="s" s="9">
        <v>20</v>
      </c>
      <c r="C21" s="16">
        <f>C6+C8+C20</f>
        <v>0.4922256388321</v>
      </c>
      <c r="D21" s="17">
        <f>D6+D8+D20</f>
        <v>0.4653033824438</v>
      </c>
      <c r="E21" s="17">
        <f>E6+E8+E20</f>
        <v>0.598568551566</v>
      </c>
      <c r="F21" s="17">
        <f>F6+F8+F20</f>
        <v>0.7384969791443</v>
      </c>
    </row>
    <row r="22" ht="20.05" customHeight="1">
      <c r="B22" t="s" s="20">
        <v>21</v>
      </c>
      <c r="C22" s="21"/>
      <c r="D22" s="22"/>
      <c r="E22" s="22"/>
      <c r="F22" s="19"/>
    </row>
    <row r="23" ht="20.05" customHeight="1">
      <c r="B23" t="s" s="9">
        <v>22</v>
      </c>
      <c r="C23" s="16">
        <f>'Balance Sheet '!D24+'Balance Sheet '!E24-C10</f>
        <v>245.4</v>
      </c>
      <c r="D23" s="17">
        <f>C23-D10</f>
        <v>246.8</v>
      </c>
      <c r="E23" s="17">
        <f>D23-E10</f>
        <v>248.2</v>
      </c>
      <c r="F23" s="17">
        <f>E23-F10</f>
        <v>249.6</v>
      </c>
    </row>
    <row r="24" ht="20.05" customHeight="1">
      <c r="B24" t="s" s="9">
        <v>23</v>
      </c>
      <c r="C24" s="16">
        <f>'Balance Sheet '!E24-C20</f>
        <v>143.2</v>
      </c>
      <c r="D24" s="17">
        <f>C24-D20</f>
        <v>145.4</v>
      </c>
      <c r="E24" s="17">
        <f>D24-E20</f>
        <v>147.6</v>
      </c>
      <c r="F24" s="17">
        <f>E24-F20</f>
        <v>149.8</v>
      </c>
    </row>
    <row r="25" ht="20.05" customHeight="1">
      <c r="B25" t="s" s="9">
        <v>24</v>
      </c>
      <c r="C25" s="16">
        <f>C23-C24</f>
        <v>102.2</v>
      </c>
      <c r="D25" s="17">
        <f>D23-D24</f>
        <v>101.4</v>
      </c>
      <c r="E25" s="17">
        <f>E23-E24</f>
        <v>100.6</v>
      </c>
      <c r="F25" s="17">
        <f>F23-F24</f>
        <v>99.8</v>
      </c>
    </row>
    <row r="26" ht="20.05" customHeight="1">
      <c r="B26" t="s" s="9">
        <v>11</v>
      </c>
      <c r="C26" s="16">
        <f>'Balance Sheet '!F24+C12</f>
        <v>67.45</v>
      </c>
      <c r="D26" s="17">
        <f>C26+D12</f>
        <v>64.0775</v>
      </c>
      <c r="E26" s="17">
        <f>D26+E12</f>
        <v>60.873625</v>
      </c>
      <c r="F26" s="17">
        <f>E26+F12</f>
        <v>57.82994375</v>
      </c>
    </row>
    <row r="27" ht="20.05" customHeight="1">
      <c r="B27" t="s" s="9">
        <v>14</v>
      </c>
      <c r="C27" s="16">
        <f>C15</f>
        <v>2.40544205281753</v>
      </c>
      <c r="D27" s="17">
        <f>C27+D15</f>
        <v>4.65222968510687</v>
      </c>
      <c r="E27" s="17">
        <f>D27+E15</f>
        <v>6.63710669901067</v>
      </c>
      <c r="F27" s="17">
        <f>E27+F15</f>
        <v>8.363840063609659</v>
      </c>
    </row>
    <row r="28" ht="20.05" customHeight="1">
      <c r="B28" t="s" s="9">
        <v>12</v>
      </c>
      <c r="C28" s="16">
        <f>'Balance Sheet '!G24+C21+C13</f>
        <v>49.3445579471825</v>
      </c>
      <c r="D28" s="17">
        <f>C28+D21+D13</f>
        <v>49.6702703148932</v>
      </c>
      <c r="E28" s="17">
        <f>D28+E21+E13</f>
        <v>50.0892683009894</v>
      </c>
      <c r="F28" s="17">
        <f>E28+F21+F13</f>
        <v>50.6062161863904</v>
      </c>
    </row>
    <row r="29" ht="20.05" customHeight="1">
      <c r="B29" t="s" s="9">
        <v>25</v>
      </c>
      <c r="C29" s="18">
        <f>C26+C27+C28-C18-C25</f>
        <v>3e-14</v>
      </c>
      <c r="D29" s="19">
        <f>D26+D27+D28-D18-D25</f>
        <v>7e-14</v>
      </c>
      <c r="E29" s="19">
        <f>E26+E27+E28-E18-E25</f>
        <v>7e-14</v>
      </c>
      <c r="F29" s="19">
        <f>F26+F27+F28-F18-F25</f>
        <v>6e-14</v>
      </c>
    </row>
    <row r="30" ht="20.05" customHeight="1">
      <c r="B30" t="s" s="9">
        <v>26</v>
      </c>
      <c r="C30" s="18">
        <f>C18-C26-C27</f>
        <v>-52.8554420528175</v>
      </c>
      <c r="D30" s="19">
        <f>D18-D26-D27</f>
        <v>-51.7297296851069</v>
      </c>
      <c r="E30" s="19">
        <f>E18-E26-E27</f>
        <v>-50.5107316990107</v>
      </c>
      <c r="F30" s="19">
        <f>F18-F26-F27</f>
        <v>-49.1937838136097</v>
      </c>
    </row>
    <row r="31" ht="20.05" customHeight="1">
      <c r="B31" t="s" s="20">
        <v>27</v>
      </c>
      <c r="C31" s="18"/>
      <c r="D31" s="19"/>
      <c r="E31" s="19"/>
      <c r="F31" s="19"/>
    </row>
    <row r="32" ht="20.05" customHeight="1">
      <c r="B32" t="s" s="9">
        <v>28</v>
      </c>
      <c r="C32" s="18"/>
      <c r="D32" s="19"/>
      <c r="E32" s="19"/>
      <c r="F32" s="19">
        <v>14</v>
      </c>
    </row>
    <row r="33" ht="20.05" customHeight="1">
      <c r="B33" t="s" s="9">
        <v>29</v>
      </c>
      <c r="C33" s="18">
        <f>'Cashflow'!J30-C11</f>
        <v>15.9922256388321</v>
      </c>
      <c r="D33" s="19">
        <f>C33-D11</f>
        <v>17.2575290212759</v>
      </c>
      <c r="E33" s="19">
        <f>D33-E11</f>
        <v>18.6560975728419</v>
      </c>
      <c r="F33" s="19">
        <f>E33-F11</f>
        <v>20.1945945519862</v>
      </c>
    </row>
    <row r="34" ht="20.05" customHeight="1">
      <c r="B34" t="s" s="9">
        <v>30</v>
      </c>
      <c r="C34" s="18"/>
      <c r="D34" s="19"/>
      <c r="E34" s="19"/>
      <c r="F34" s="19">
        <f>595/F32</f>
        <v>42.5</v>
      </c>
    </row>
    <row r="35" ht="20.05" customHeight="1">
      <c r="B35" t="s" s="9">
        <v>31</v>
      </c>
      <c r="C35" s="18"/>
      <c r="D35" s="19"/>
      <c r="E35" s="19"/>
      <c r="F35" s="23">
        <f>F34/(F18+F25)</f>
        <v>0.363869863013699</v>
      </c>
    </row>
    <row r="36" ht="20.05" customHeight="1">
      <c r="B36" t="s" s="9">
        <v>32</v>
      </c>
      <c r="C36" s="18"/>
      <c r="D36" s="19"/>
      <c r="E36" s="19"/>
      <c r="F36" s="24">
        <f>-(C13+D13+E13+F13)/F34</f>
        <v>0.0161971380140202</v>
      </c>
    </row>
    <row r="37" ht="20.05" customHeight="1">
      <c r="B37" t="s" s="9">
        <v>3</v>
      </c>
      <c r="C37" s="18"/>
      <c r="D37" s="19"/>
      <c r="E37" s="19"/>
      <c r="F37" s="19">
        <f>SUM(C9:F10)</f>
        <v>5.4945945519862</v>
      </c>
    </row>
    <row r="38" ht="20.05" customHeight="1">
      <c r="B38" t="s" s="9">
        <v>33</v>
      </c>
      <c r="C38" s="18"/>
      <c r="D38" s="19"/>
      <c r="E38" s="19"/>
      <c r="F38" s="19">
        <f>'Balance Sheet '!D24/F37</f>
        <v>18.7456961611057</v>
      </c>
    </row>
    <row r="39" ht="20.05" customHeight="1">
      <c r="B39" t="s" s="9">
        <v>27</v>
      </c>
      <c r="C39" s="18"/>
      <c r="D39" s="19"/>
      <c r="E39" s="19"/>
      <c r="F39" s="19">
        <f>F34/F37</f>
        <v>7.73487462958245</v>
      </c>
    </row>
    <row r="40" ht="20.05" customHeight="1">
      <c r="B40" t="s" s="9">
        <v>34</v>
      </c>
      <c r="C40" s="18"/>
      <c r="D40" s="19"/>
      <c r="E40" s="19"/>
      <c r="F40" s="19">
        <v>12</v>
      </c>
    </row>
    <row r="41" ht="20.05" customHeight="1">
      <c r="B41" t="s" s="9">
        <v>35</v>
      </c>
      <c r="C41" s="18"/>
      <c r="D41" s="19"/>
      <c r="E41" s="19"/>
      <c r="F41" s="19">
        <f>F37*F40</f>
        <v>65.9351346238344</v>
      </c>
    </row>
    <row r="42" ht="20.05" customHeight="1">
      <c r="B42" t="s" s="9">
        <v>36</v>
      </c>
      <c r="C42" s="18"/>
      <c r="D42" s="19"/>
      <c r="E42" s="19"/>
      <c r="F42" s="19">
        <f>595/F44</f>
        <v>0.419014084507042</v>
      </c>
    </row>
    <row r="43" ht="20.05" customHeight="1">
      <c r="B43" t="s" s="9">
        <v>37</v>
      </c>
      <c r="C43" s="18"/>
      <c r="D43" s="19"/>
      <c r="E43" s="19"/>
      <c r="F43" s="19">
        <f>(F41/F42)*F32</f>
        <v>2203.009203902230</v>
      </c>
    </row>
    <row r="44" ht="20.05" customHeight="1">
      <c r="B44" t="s" s="9">
        <v>38</v>
      </c>
      <c r="C44" s="18"/>
      <c r="D44" s="19"/>
      <c r="E44" s="19"/>
      <c r="F44" s="19">
        <f>'Share Price '!B73</f>
        <v>1420</v>
      </c>
    </row>
    <row r="45" ht="20.05" customHeight="1">
      <c r="B45" t="s" s="9">
        <v>39</v>
      </c>
      <c r="C45" s="18"/>
      <c r="D45" s="19"/>
      <c r="E45" s="19"/>
      <c r="F45" s="24">
        <f>F43/F44-1</f>
        <v>0.551414932325514</v>
      </c>
    </row>
    <row r="46" ht="20.05" customHeight="1">
      <c r="B46" t="s" s="9">
        <v>40</v>
      </c>
      <c r="C46" s="18"/>
      <c r="D46" s="19"/>
      <c r="E46" s="19"/>
      <c r="F46" s="24">
        <f>'Sales'!C30/'Sales'!C26-1</f>
        <v>0.293286219081272</v>
      </c>
    </row>
    <row r="47" ht="20.05" customHeight="1">
      <c r="B47" t="s" s="9">
        <v>41</v>
      </c>
      <c r="C47" s="18"/>
      <c r="D47" s="19"/>
      <c r="E47" s="19"/>
      <c r="F47" s="24">
        <f>('Sales'!D28+'Sales'!D29+'Sales'!D30)/('Sales'!C28+'Sales'!C29+'Sales'!C30)-1</f>
        <v>0.00348324514991182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34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83594" style="25" customWidth="1"/>
    <col min="2" max="2" width="9.39062" style="25" customWidth="1"/>
    <col min="3" max="10" width="10.5547" style="25" customWidth="1"/>
    <col min="11" max="16384" width="16.3516" style="25" customWidth="1"/>
  </cols>
  <sheetData>
    <row r="1" ht="33.2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</row>
    <row r="3" ht="32.25" customHeight="1">
      <c r="B3" t="s" s="4">
        <v>1</v>
      </c>
      <c r="C3" t="s" s="4">
        <v>5</v>
      </c>
      <c r="D3" t="s" s="4">
        <v>34</v>
      </c>
      <c r="E3" t="s" s="4">
        <v>23</v>
      </c>
      <c r="F3" t="s" s="4">
        <v>42</v>
      </c>
      <c r="G3" t="s" s="4">
        <v>43</v>
      </c>
      <c r="H3" t="s" s="4">
        <v>44</v>
      </c>
      <c r="I3" t="s" s="4">
        <v>45</v>
      </c>
      <c r="J3" t="s" s="4">
        <v>45</v>
      </c>
    </row>
    <row r="4" ht="20.25" customHeight="1">
      <c r="B4" s="26">
        <v>2015</v>
      </c>
      <c r="C4" s="27">
        <v>41.8</v>
      </c>
      <c r="D4" s="28"/>
      <c r="E4" s="29">
        <v>3.4</v>
      </c>
      <c r="F4" s="29">
        <v>-0.2</v>
      </c>
      <c r="G4" s="30"/>
      <c r="H4" s="31">
        <f>(E4+F4-C4)/C4</f>
        <v>-0.923444976076555</v>
      </c>
      <c r="I4" s="31"/>
      <c r="J4" s="31"/>
    </row>
    <row r="5" ht="20.05" customHeight="1">
      <c r="B5" s="32"/>
      <c r="C5" s="21">
        <v>37.4</v>
      </c>
      <c r="D5" s="33"/>
      <c r="E5" s="19">
        <v>3.3</v>
      </c>
      <c r="F5" s="19">
        <v>-0.1</v>
      </c>
      <c r="G5" s="24">
        <f>C5/C4-1</f>
        <v>-0.105263157894737</v>
      </c>
      <c r="H5" s="24">
        <f>(E5+F5-C5)/C5</f>
        <v>-0.914438502673797</v>
      </c>
      <c r="I5" s="24"/>
      <c r="J5" s="24"/>
    </row>
    <row r="6" ht="20.05" customHeight="1">
      <c r="B6" s="32"/>
      <c r="C6" s="21">
        <v>32.2</v>
      </c>
      <c r="D6" s="33"/>
      <c r="E6" s="19">
        <v>-6.7</v>
      </c>
      <c r="F6" s="19">
        <v>-0.8</v>
      </c>
      <c r="G6" s="24">
        <f>C6/C5-1</f>
        <v>-0.13903743315508</v>
      </c>
      <c r="H6" s="24">
        <f>(E6+F6-C6)/C6</f>
        <v>-1.23291925465839</v>
      </c>
      <c r="I6" s="24"/>
      <c r="J6" s="24"/>
    </row>
    <row r="7" ht="20.05" customHeight="1">
      <c r="B7" s="32"/>
      <c r="C7" s="21">
        <v>43</v>
      </c>
      <c r="D7" s="33"/>
      <c r="E7" s="19">
        <v>11.6</v>
      </c>
      <c r="F7" s="19">
        <v>1</v>
      </c>
      <c r="G7" s="24">
        <f>C7/C6-1</f>
        <v>0.335403726708075</v>
      </c>
      <c r="H7" s="24">
        <f>(E7+F7-C7)/C7</f>
        <v>-0.7069767441860469</v>
      </c>
      <c r="I7" s="24"/>
      <c r="J7" s="24"/>
    </row>
    <row r="8" ht="20.05" customHeight="1">
      <c r="B8" s="34">
        <v>2016</v>
      </c>
      <c r="C8" s="21">
        <v>40.6</v>
      </c>
      <c r="D8" s="33"/>
      <c r="E8" s="19">
        <v>2.9</v>
      </c>
      <c r="F8" s="19">
        <v>0.6</v>
      </c>
      <c r="G8" s="24">
        <f>C8/C7-1</f>
        <v>-0.0558139534883721</v>
      </c>
      <c r="H8" s="24">
        <f>(E8+F8-C8)/C8</f>
        <v>-0.913793103448276</v>
      </c>
      <c r="I8" s="24"/>
      <c r="J8" s="24">
        <f>('Cashflow'!E8+'Cashflow'!D8-'Cashflow'!C8)/'Cashflow'!C8</f>
        <v>-0.917553191489362</v>
      </c>
    </row>
    <row r="9" ht="20.05" customHeight="1">
      <c r="B9" s="32"/>
      <c r="C9" s="21">
        <v>39.2</v>
      </c>
      <c r="D9" s="33"/>
      <c r="E9" s="19">
        <v>2.8</v>
      </c>
      <c r="F9" s="19">
        <v>-0.62</v>
      </c>
      <c r="G9" s="24">
        <f>C9/C8-1</f>
        <v>-0.0344827586206897</v>
      </c>
      <c r="H9" s="24">
        <f>(E9+F9-C9)/C9</f>
        <v>-0.944387755102041</v>
      </c>
      <c r="I9" s="24"/>
      <c r="J9" s="24">
        <f>('Cashflow'!E9+'Cashflow'!D9-'Cashflow'!C9)/'Cashflow'!C9</f>
        <v>-1.0594315245478</v>
      </c>
    </row>
    <row r="10" ht="20.05" customHeight="1">
      <c r="B10" s="32"/>
      <c r="C10" s="21">
        <v>36.6</v>
      </c>
      <c r="D10" s="33"/>
      <c r="E10" s="19">
        <v>2.3</v>
      </c>
      <c r="F10" s="19">
        <v>1.12</v>
      </c>
      <c r="G10" s="24">
        <f>C10/C9-1</f>
        <v>-0.0663265306122449</v>
      </c>
      <c r="H10" s="24">
        <f>(E10+F10-C10)/C10</f>
        <v>-0.90655737704918</v>
      </c>
      <c r="I10" s="24"/>
      <c r="J10" s="24">
        <f>('Cashflow'!E10+'Cashflow'!D10-'Cashflow'!C10)/'Cashflow'!C10</f>
        <v>-0.8146453089244849</v>
      </c>
    </row>
    <row r="11" ht="20.05" customHeight="1">
      <c r="B11" s="32"/>
      <c r="C11" s="21">
        <v>38.8</v>
      </c>
      <c r="D11" s="33"/>
      <c r="E11" s="19">
        <v>2.9</v>
      </c>
      <c r="F11" s="19">
        <v>0.6</v>
      </c>
      <c r="G11" s="24">
        <f>C11/C10-1</f>
        <v>0.0601092896174863</v>
      </c>
      <c r="H11" s="24">
        <f>(E11+F11-C11)/C11</f>
        <v>-0.90979381443299</v>
      </c>
      <c r="I11" s="24"/>
      <c r="J11" s="24">
        <f>('Cashflow'!E11+'Cashflow'!D11-'Cashflow'!C11)/'Cashflow'!C11</f>
        <v>-1.084375</v>
      </c>
    </row>
    <row r="12" ht="20.05" customHeight="1">
      <c r="B12" s="34">
        <v>2017</v>
      </c>
      <c r="C12" s="21">
        <v>37.9</v>
      </c>
      <c r="D12" s="33"/>
      <c r="E12" s="19">
        <v>2.7</v>
      </c>
      <c r="F12" s="19">
        <v>-1.2</v>
      </c>
      <c r="G12" s="24">
        <f>C12/C11-1</f>
        <v>-0.0231958762886598</v>
      </c>
      <c r="H12" s="24">
        <f>(E12+F12-C12)/C12</f>
        <v>-0.9604221635883911</v>
      </c>
      <c r="I12" s="24">
        <f>AVERAGE(J9:J12)</f>
        <v>-0.9505504583680709</v>
      </c>
      <c r="J12" s="24">
        <f>('Cashflow'!E12+'Cashflow'!D12-'Cashflow'!C12)/'Cashflow'!C12</f>
        <v>-0.84375</v>
      </c>
    </row>
    <row r="13" ht="20.05" customHeight="1">
      <c r="B13" s="32"/>
      <c r="C13" s="21">
        <v>37.8</v>
      </c>
      <c r="D13" s="33"/>
      <c r="E13" s="19">
        <v>2.4</v>
      </c>
      <c r="F13" s="19">
        <v>-1.1</v>
      </c>
      <c r="G13" s="24">
        <f>C13/C12-1</f>
        <v>-0.00263852242744063</v>
      </c>
      <c r="H13" s="24">
        <f>(E13+F13-C13)/C13</f>
        <v>-0.965608465608466</v>
      </c>
      <c r="I13" s="24">
        <f>AVERAGE(J10:J13)</f>
        <v>-0.945441880852291</v>
      </c>
      <c r="J13" s="24">
        <f>('Cashflow'!E13+'Cashflow'!D13-'Cashflow'!C13)/'Cashflow'!C13</f>
        <v>-1.03899721448468</v>
      </c>
    </row>
    <row r="14" ht="20.05" customHeight="1">
      <c r="B14" s="32"/>
      <c r="C14" s="21">
        <v>42.4</v>
      </c>
      <c r="D14" s="33"/>
      <c r="E14" s="19">
        <v>-5.1</v>
      </c>
      <c r="F14" s="19">
        <v>-0.5</v>
      </c>
      <c r="G14" s="24">
        <f>C14/C13-1</f>
        <v>0.121693121693122</v>
      </c>
      <c r="H14" s="24">
        <f>(E14+F14-C14)/C14</f>
        <v>-1.13207547169811</v>
      </c>
      <c r="I14" s="24">
        <f>AVERAGE(J11:J14)</f>
        <v>-0.96965665981586</v>
      </c>
      <c r="J14" s="24">
        <f>('Cashflow'!E14+'Cashflow'!D14-'Cashflow'!C14)/'Cashflow'!C14</f>
        <v>-0.911504424778761</v>
      </c>
    </row>
    <row r="15" ht="20.05" customHeight="1">
      <c r="B15" s="32"/>
      <c r="C15" s="21">
        <v>43.2</v>
      </c>
      <c r="D15" s="33"/>
      <c r="E15" s="19">
        <v>8.300000000000001</v>
      </c>
      <c r="F15" s="19">
        <v>1.9</v>
      </c>
      <c r="G15" s="24">
        <f>C15/C14-1</f>
        <v>0.0188679245283019</v>
      </c>
      <c r="H15" s="24">
        <f>(E15+F15-C15)/C15</f>
        <v>-0.763888888888889</v>
      </c>
      <c r="I15" s="24">
        <f>AVERAGE(J12:J15)</f>
        <v>-0.909284778181041</v>
      </c>
      <c r="J15" s="24">
        <f>('Cashflow'!E15+'Cashflow'!D15-'Cashflow'!C15)/'Cashflow'!C15</f>
        <v>-0.842887473460722</v>
      </c>
    </row>
    <row r="16" ht="20.05" customHeight="1">
      <c r="B16" s="34">
        <v>2018</v>
      </c>
      <c r="C16" s="21">
        <v>44.4</v>
      </c>
      <c r="D16" s="33"/>
      <c r="E16" s="19">
        <v>1.4</v>
      </c>
      <c r="F16" s="19">
        <v>0.4</v>
      </c>
      <c r="G16" s="24">
        <f>C16/C15-1</f>
        <v>0.0277777777777778</v>
      </c>
      <c r="H16" s="24">
        <f>(E16+F16-C16)/C16</f>
        <v>-0.959459459459459</v>
      </c>
      <c r="I16" s="24">
        <f>AVERAGE(J13:J16)</f>
        <v>-0.90575878260582</v>
      </c>
      <c r="J16" s="24">
        <f>('Cashflow'!E16+'Cashflow'!D16-'Cashflow'!C16)/'Cashflow'!C16</f>
        <v>-0.8296460176991149</v>
      </c>
    </row>
    <row r="17" ht="20.05" customHeight="1">
      <c r="B17" s="32"/>
      <c r="C17" s="21">
        <v>34.7</v>
      </c>
      <c r="D17" s="33"/>
      <c r="E17" s="19">
        <v>1.4</v>
      </c>
      <c r="F17" s="19">
        <v>0.6</v>
      </c>
      <c r="G17" s="24">
        <f>C17/C16-1</f>
        <v>-0.218468468468468</v>
      </c>
      <c r="H17" s="24">
        <f>(E17+F17-C17)/C17</f>
        <v>-0.942363112391931</v>
      </c>
      <c r="I17" s="24">
        <f>AVERAGE(J14:J17)</f>
        <v>-0.938531473119547</v>
      </c>
      <c r="J17" s="24">
        <f>('Cashflow'!E17+'Cashflow'!D17-'Cashflow'!C17)/'Cashflow'!C17</f>
        <v>-1.17008797653959</v>
      </c>
    </row>
    <row r="18" ht="20.05" customHeight="1">
      <c r="B18" s="32"/>
      <c r="C18" s="21">
        <v>43.5</v>
      </c>
      <c r="D18" s="33"/>
      <c r="E18" s="19">
        <v>1.4</v>
      </c>
      <c r="F18" s="19">
        <v>-1.5</v>
      </c>
      <c r="G18" s="24">
        <f>C18/C17-1</f>
        <v>0.253602305475504</v>
      </c>
      <c r="H18" s="24">
        <f>(E18+F18-C18)/C18</f>
        <v>-1.00229885057471</v>
      </c>
      <c r="I18" s="24">
        <f>AVERAGE(J15:J18)</f>
        <v>-0.985769522175999</v>
      </c>
      <c r="J18" s="24">
        <f>('Cashflow'!E18+'Cashflow'!D18-'Cashflow'!C18)/'Cashflow'!C18</f>
        <v>-1.10045662100457</v>
      </c>
    </row>
    <row r="19" ht="20.05" customHeight="1">
      <c r="B19" s="32"/>
      <c r="C19" s="21">
        <v>37.3</v>
      </c>
      <c r="D19" s="33"/>
      <c r="E19" s="19">
        <v>1.2</v>
      </c>
      <c r="F19" s="19">
        <v>1</v>
      </c>
      <c r="G19" s="24">
        <f>C19/C18-1</f>
        <v>-0.142528735632184</v>
      </c>
      <c r="H19" s="24">
        <f>(E19+F19-C19)/C19</f>
        <v>-0.941018766756032</v>
      </c>
      <c r="I19" s="24">
        <f>AVERAGE(J16:J19)</f>
        <v>-1.02574209825526</v>
      </c>
      <c r="J19" s="24">
        <f>('Cashflow'!E19+'Cashflow'!D19-'Cashflow'!C19)/'Cashflow'!C19</f>
        <v>-1.00277777777778</v>
      </c>
    </row>
    <row r="20" ht="20.05" customHeight="1">
      <c r="B20" s="34">
        <v>2019</v>
      </c>
      <c r="C20" s="21">
        <v>33.1</v>
      </c>
      <c r="D20" s="33"/>
      <c r="E20" s="19">
        <v>1.4</v>
      </c>
      <c r="F20" s="19">
        <v>-1.3</v>
      </c>
      <c r="G20" s="24">
        <f>C20/C19-1</f>
        <v>-0.112600536193029</v>
      </c>
      <c r="H20" s="24">
        <f>(E20+F20-C20)/C20</f>
        <v>-0.996978851963746</v>
      </c>
      <c r="I20" s="24">
        <f>AVERAGE(J17:J20)</f>
        <v>-1.07209565407145</v>
      </c>
      <c r="J20" s="24">
        <f>('Cashflow'!E20+'Cashflow'!D20-'Cashflow'!C20)/'Cashflow'!C20</f>
        <v>-1.01506024096386</v>
      </c>
    </row>
    <row r="21" ht="20.05" customHeight="1">
      <c r="B21" s="32"/>
      <c r="C21" s="21">
        <v>32</v>
      </c>
      <c r="D21" s="33"/>
      <c r="E21" s="19">
        <v>1.4</v>
      </c>
      <c r="F21" s="19">
        <v>-1.1</v>
      </c>
      <c r="G21" s="24">
        <f>C21/C20-1</f>
        <v>-0.0332326283987915</v>
      </c>
      <c r="H21" s="24">
        <f>(E21+F21-C21)/C21</f>
        <v>-0.990625</v>
      </c>
      <c r="I21" s="24">
        <f>AVERAGE(J18:J21)</f>
        <v>-1.07668904455194</v>
      </c>
      <c r="J21" s="24">
        <f>('Cashflow'!E21+'Cashflow'!D21-'Cashflow'!C21)/'Cashflow'!C21</f>
        <v>-1.18846153846154</v>
      </c>
    </row>
    <row r="22" ht="20.05" customHeight="1">
      <c r="B22" s="32"/>
      <c r="C22" s="21">
        <v>38.1</v>
      </c>
      <c r="D22" s="33"/>
      <c r="E22" s="19">
        <v>2</v>
      </c>
      <c r="F22" s="19">
        <v>0.2</v>
      </c>
      <c r="G22" s="24">
        <f>C22/C21-1</f>
        <v>0.190625</v>
      </c>
      <c r="H22" s="24">
        <f>(E22+F22-C22)/C22</f>
        <v>-0.9422572178477689</v>
      </c>
      <c r="I22" s="24">
        <f>AVERAGE(J19:J22)</f>
        <v>-1.02472066935195</v>
      </c>
      <c r="J22" s="24">
        <f>('Cashflow'!E22+'Cashflow'!D22-'Cashflow'!C22)/'Cashflow'!C22</f>
        <v>-0.892583120204604</v>
      </c>
    </row>
    <row r="23" ht="20.05" customHeight="1">
      <c r="B23" s="32"/>
      <c r="C23" s="21">
        <v>36.1</v>
      </c>
      <c r="D23" s="33"/>
      <c r="E23" s="19">
        <v>1</v>
      </c>
      <c r="F23" s="19">
        <v>1</v>
      </c>
      <c r="G23" s="24">
        <f>C23/C22-1</f>
        <v>-0.05249343832021</v>
      </c>
      <c r="H23" s="24">
        <f>(E23+F23-C23)/C23</f>
        <v>-0.944598337950139</v>
      </c>
      <c r="I23" s="24">
        <f>AVERAGE(J20:J23)</f>
        <v>-1.0309012249075</v>
      </c>
      <c r="J23" s="24">
        <f>('Cashflow'!E23+'Cashflow'!D23-'Cashflow'!C23)/'Cashflow'!C23</f>
        <v>-1.0275</v>
      </c>
    </row>
    <row r="24" ht="20.05" customHeight="1">
      <c r="B24" s="34">
        <v>2020</v>
      </c>
      <c r="C24" s="21">
        <v>33.7</v>
      </c>
      <c r="D24" s="33"/>
      <c r="E24" s="19">
        <v>1.9</v>
      </c>
      <c r="F24" s="19">
        <v>3.4</v>
      </c>
      <c r="G24" s="24">
        <f>C24/C23-1</f>
        <v>-0.0664819944598338</v>
      </c>
      <c r="H24" s="24">
        <f>(E24+F24-C24)/C24</f>
        <v>-0.842729970326409</v>
      </c>
      <c r="I24" s="24">
        <f>AVERAGE(J21:J24)</f>
        <v>-1.02403057460442</v>
      </c>
      <c r="J24" s="24">
        <f>('Cashflow'!E24+'Cashflow'!D24-'Cashflow'!C24)/'Cashflow'!C24</f>
        <v>-0.987577639751553</v>
      </c>
    </row>
    <row r="25" ht="20.05" customHeight="1">
      <c r="B25" s="32"/>
      <c r="C25" s="21">
        <v>12.9</v>
      </c>
      <c r="D25" s="33"/>
      <c r="E25" s="19">
        <v>1.8</v>
      </c>
      <c r="F25" s="19">
        <v>-8.1</v>
      </c>
      <c r="G25" s="24">
        <f>C25/C24-1</f>
        <v>-0.617210682492582</v>
      </c>
      <c r="H25" s="24"/>
      <c r="I25" s="24">
        <f>AVERAGE(J22:J25)</f>
        <v>-1.04236021616705</v>
      </c>
      <c r="J25" s="24">
        <f>('Cashflow'!E25+'Cashflow'!D25-'Cashflow'!C25)/'Cashflow'!C25</f>
        <v>-1.26178010471204</v>
      </c>
    </row>
    <row r="26" ht="20.05" customHeight="1">
      <c r="B26" s="32"/>
      <c r="C26" s="21">
        <v>28.3</v>
      </c>
      <c r="D26" s="33"/>
      <c r="E26" s="19">
        <v>1.8</v>
      </c>
      <c r="F26" s="19">
        <v>0.4</v>
      </c>
      <c r="G26" s="24">
        <f>C26/C25-1</f>
        <v>1.1937984496124</v>
      </c>
      <c r="H26" s="24">
        <f>(E26+F26-C26)/C26</f>
        <v>-0.92226148409894</v>
      </c>
      <c r="I26" s="24">
        <f>AVERAGE(J23:J26)</f>
        <v>-0.9999260466027901</v>
      </c>
      <c r="J26" s="24">
        <f>('Cashflow'!E26+'Cashflow'!D26-'Cashflow'!C26)/'Cashflow'!C26</f>
        <v>-0.722846441947566</v>
      </c>
    </row>
    <row r="27" ht="20.05" customHeight="1">
      <c r="B27" s="32"/>
      <c r="C27" s="21">
        <v>33.4</v>
      </c>
      <c r="D27" s="33"/>
      <c r="E27" s="19">
        <v>1.3</v>
      </c>
      <c r="F27" s="19">
        <v>-2.8</v>
      </c>
      <c r="G27" s="24">
        <f>C27/C26-1</f>
        <v>0.180212014134276</v>
      </c>
      <c r="H27" s="24">
        <f>(E27+F27-C27)/C27</f>
        <v>-1.04491017964072</v>
      </c>
      <c r="I27" s="24">
        <f>AVERAGE(J24:J27)</f>
        <v>-0.9379268230003051</v>
      </c>
      <c r="J27" s="24">
        <f>('Cashflow'!E27+'Cashflow'!D27-'Cashflow'!C27)/'Cashflow'!C27</f>
        <v>-0.779503105590062</v>
      </c>
    </row>
    <row r="28" ht="20.05" customHeight="1">
      <c r="B28" s="34">
        <v>2021</v>
      </c>
      <c r="C28" s="21">
        <f>39.7</f>
        <v>39.7</v>
      </c>
      <c r="D28" s="22">
        <v>33.734</v>
      </c>
      <c r="E28" s="35">
        <f>1.6+0.1</f>
        <v>1.7</v>
      </c>
      <c r="F28" s="19">
        <f>2.2</f>
        <v>2.2</v>
      </c>
      <c r="G28" s="24">
        <f>C28/C27-1</f>
        <v>0.188622754491018</v>
      </c>
      <c r="H28" s="24">
        <f>(E28+F28-C28)/C28</f>
        <v>-0.90176322418136</v>
      </c>
      <c r="I28" s="24">
        <f>AVERAGE(J25:J28)</f>
        <v>-0.873430372246091</v>
      </c>
      <c r="J28" s="24">
        <f>('Cashflow'!E28+'Cashflow'!D28-'Cashflow'!C28)/'Cashflow'!C28</f>
        <v>-0.729591836734694</v>
      </c>
    </row>
    <row r="29" ht="20.05" customHeight="1">
      <c r="B29" s="32"/>
      <c r="C29" s="21">
        <f>76.8-C28</f>
        <v>37.1</v>
      </c>
      <c r="D29" s="22">
        <v>38.509</v>
      </c>
      <c r="E29" s="35">
        <f>0.8+3.1-E28</f>
        <v>2.2</v>
      </c>
      <c r="F29" s="19">
        <f>3.5-F28</f>
        <v>1.3</v>
      </c>
      <c r="G29" s="24">
        <f>C29/C28-1</f>
        <v>-0.0654911838790932</v>
      </c>
      <c r="H29" s="24">
        <f>(E29+F29-C29)/C29</f>
        <v>-0.905660377358491</v>
      </c>
      <c r="I29" s="24">
        <f>AVERAGE(J26:J29)</f>
        <v>-0.768168113692102</v>
      </c>
      <c r="J29" s="24">
        <f>('Cashflow'!E29+'Cashflow'!D29-'Cashflow'!C29)/'Cashflow'!C29</f>
        <v>-0.840731070496084</v>
      </c>
    </row>
    <row r="30" ht="20.05" customHeight="1">
      <c r="B30" s="32"/>
      <c r="C30" s="21">
        <f>113.4-SUM(C28:C29)</f>
        <v>36.6</v>
      </c>
      <c r="D30" s="22">
        <v>41.552</v>
      </c>
      <c r="E30" s="19">
        <f>4.7+0.4-SUM(E28:E29)</f>
        <v>1.2</v>
      </c>
      <c r="F30" s="19">
        <f>2.8-SUM(F28:F29)</f>
        <v>-0.7</v>
      </c>
      <c r="G30" s="24">
        <f>C30/C29-1</f>
        <v>-0.0134770889487871</v>
      </c>
      <c r="H30" s="24">
        <f>(E30+F30-C30)/C30</f>
        <v>-0.986338797814208</v>
      </c>
      <c r="I30" s="24">
        <f>AVERAGE(J27:J30)</f>
        <v>-0.803741490482564</v>
      </c>
      <c r="J30" s="24">
        <f>('Cashflow'!E30+'Cashflow'!D30-'Cashflow'!C30)/'Cashflow'!C30</f>
        <v>-0.8651399491094151</v>
      </c>
    </row>
    <row r="31" ht="20.05" customHeight="1">
      <c r="B31" s="32"/>
      <c r="C31" s="36"/>
      <c r="D31" s="22">
        <f>'Model'!C6</f>
        <v>39.162</v>
      </c>
      <c r="E31" s="22"/>
      <c r="F31" s="19"/>
      <c r="G31" s="11"/>
      <c r="H31" s="11">
        <f>'Model'!C7</f>
        <v>-0.93125413311802</v>
      </c>
      <c r="I31" s="24"/>
      <c r="J31" s="24"/>
    </row>
    <row r="32" ht="20.05" customHeight="1">
      <c r="B32" s="34">
        <v>2022</v>
      </c>
      <c r="C32" s="36"/>
      <c r="D32" s="22">
        <f>'Model'!D6</f>
        <v>38.77038</v>
      </c>
      <c r="E32" s="33"/>
      <c r="F32" s="22"/>
      <c r="G32" s="11"/>
      <c r="H32" s="11"/>
      <c r="I32" s="24"/>
      <c r="J32" s="24"/>
    </row>
    <row r="33" ht="20.05" customHeight="1">
      <c r="B33" s="32"/>
      <c r="C33" s="36"/>
      <c r="D33" s="22">
        <f>'Model'!E6</f>
        <v>40.708899</v>
      </c>
      <c r="E33" s="33"/>
      <c r="F33" s="22"/>
      <c r="G33" s="11"/>
      <c r="H33" s="11"/>
      <c r="I33" s="24"/>
      <c r="J33" s="24"/>
    </row>
    <row r="34" ht="20.05" customHeight="1">
      <c r="B34" s="32"/>
      <c r="C34" s="36"/>
      <c r="D34" s="22">
        <f>'Model'!F6</f>
        <v>42.74434395</v>
      </c>
      <c r="E34" s="33"/>
      <c r="F34" s="22"/>
      <c r="G34" s="11"/>
      <c r="H34" s="11"/>
      <c r="I34" s="24"/>
      <c r="J34" s="24"/>
    </row>
  </sheetData>
  <mergeCells count="1">
    <mergeCell ref="B2:J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32812" style="37" customWidth="1"/>
    <col min="2" max="2" width="7.47656" style="37" customWidth="1"/>
    <col min="3" max="11" width="9.42969" style="37" customWidth="1"/>
    <col min="12" max="16384" width="16.3516" style="37" customWidth="1"/>
  </cols>
  <sheetData>
    <row r="1" ht="44.5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4">
        <v>1</v>
      </c>
      <c r="C3" t="s" s="4">
        <v>46</v>
      </c>
      <c r="D3" t="s" s="4">
        <v>47</v>
      </c>
      <c r="E3" t="s" s="4">
        <v>8</v>
      </c>
      <c r="F3" t="s" s="4">
        <v>48</v>
      </c>
      <c r="G3" t="s" s="4">
        <v>10</v>
      </c>
      <c r="H3" t="s" s="4">
        <v>49</v>
      </c>
      <c r="I3" t="s" s="4">
        <v>3</v>
      </c>
      <c r="J3" t="s" s="4">
        <v>29</v>
      </c>
      <c r="K3" t="s" s="4">
        <v>50</v>
      </c>
    </row>
    <row r="4" ht="20.25" customHeight="1">
      <c r="B4" s="26">
        <v>2015</v>
      </c>
      <c r="C4" s="38">
        <v>39.5</v>
      </c>
      <c r="D4" s="29"/>
      <c r="E4" s="29">
        <v>1.9</v>
      </c>
      <c r="F4" s="29">
        <v>-2.5</v>
      </c>
      <c r="G4" s="29">
        <v>-0.003</v>
      </c>
      <c r="H4" s="29">
        <f>E4+F4</f>
        <v>-0.6</v>
      </c>
      <c r="I4" s="39"/>
      <c r="J4" s="29">
        <f>-G4</f>
        <v>0.003</v>
      </c>
      <c r="K4" s="29">
        <v>1</v>
      </c>
    </row>
    <row r="5" ht="20.05" customHeight="1">
      <c r="B5" s="32"/>
      <c r="C5" s="18">
        <v>38.6</v>
      </c>
      <c r="D5" s="19"/>
      <c r="E5" s="19">
        <v>-2.6</v>
      </c>
      <c r="F5" s="19">
        <v>-1.8</v>
      </c>
      <c r="G5" s="19">
        <v>5.103</v>
      </c>
      <c r="H5" s="19">
        <f>E5+F5</f>
        <v>-4.4</v>
      </c>
      <c r="I5" s="22"/>
      <c r="J5" s="19">
        <f>-G5+J4</f>
        <v>-5.1</v>
      </c>
      <c r="K5" s="19">
        <f>1+K4</f>
        <v>2</v>
      </c>
    </row>
    <row r="6" ht="20.05" customHeight="1">
      <c r="B6" s="32"/>
      <c r="C6" s="18">
        <v>36.3</v>
      </c>
      <c r="D6" s="19"/>
      <c r="E6" s="19">
        <v>4.6</v>
      </c>
      <c r="F6" s="19">
        <v>-0.8</v>
      </c>
      <c r="G6" s="19">
        <v>-4.1</v>
      </c>
      <c r="H6" s="19">
        <f>E6+F6</f>
        <v>3.8</v>
      </c>
      <c r="I6" s="22"/>
      <c r="J6" s="19">
        <f>-G6+J5</f>
        <v>-1</v>
      </c>
      <c r="K6" s="19">
        <f>1+K5</f>
        <v>3</v>
      </c>
    </row>
    <row r="7" ht="20.05" customHeight="1">
      <c r="B7" s="32"/>
      <c r="C7" s="18">
        <v>38.5</v>
      </c>
      <c r="D7" s="19"/>
      <c r="E7" s="19">
        <v>8.199999999999999</v>
      </c>
      <c r="F7" s="19">
        <v>-4.6</v>
      </c>
      <c r="G7" s="19">
        <v>-2.9</v>
      </c>
      <c r="H7" s="19">
        <f>E7+F7</f>
        <v>3.6</v>
      </c>
      <c r="I7" s="22"/>
      <c r="J7" s="19">
        <f>-G7+J6</f>
        <v>1.9</v>
      </c>
      <c r="K7" s="19">
        <f>1+K6</f>
        <v>4</v>
      </c>
    </row>
    <row r="8" ht="20.05" customHeight="1">
      <c r="B8" s="34">
        <v>2016</v>
      </c>
      <c r="C8" s="18">
        <v>37.6</v>
      </c>
      <c r="D8" s="19"/>
      <c r="E8" s="19">
        <v>3.1</v>
      </c>
      <c r="F8" s="19">
        <v>-1.1</v>
      </c>
      <c r="G8" s="19">
        <v>-0.2</v>
      </c>
      <c r="H8" s="19">
        <f>E8+F8</f>
        <v>2</v>
      </c>
      <c r="I8" s="19">
        <f>AVERAGE(H5:H8)</f>
        <v>1.25</v>
      </c>
      <c r="J8" s="19">
        <f>-G8+J7</f>
        <v>2.1</v>
      </c>
      <c r="K8" s="19">
        <f>1+K7</f>
        <v>5</v>
      </c>
    </row>
    <row r="9" ht="20.05" customHeight="1">
      <c r="B9" s="32"/>
      <c r="C9" s="18">
        <v>38.7</v>
      </c>
      <c r="D9" s="19"/>
      <c r="E9" s="19">
        <v>-2.3</v>
      </c>
      <c r="F9" s="19">
        <v>-2.3</v>
      </c>
      <c r="G9" s="19">
        <v>1.3</v>
      </c>
      <c r="H9" s="19">
        <f>E9+F9</f>
        <v>-4.6</v>
      </c>
      <c r="I9" s="19">
        <f>AVERAGE(H6:H9)</f>
        <v>1.2</v>
      </c>
      <c r="J9" s="19">
        <f>-G9+J8</f>
        <v>0.8</v>
      </c>
      <c r="K9" s="19">
        <f>1+K8</f>
        <v>6</v>
      </c>
    </row>
    <row r="10" ht="20.05" customHeight="1">
      <c r="B10" s="32"/>
      <c r="C10" s="18">
        <v>43.7</v>
      </c>
      <c r="D10" s="19"/>
      <c r="E10" s="19">
        <v>8.1</v>
      </c>
      <c r="F10" s="19">
        <v>-1.7</v>
      </c>
      <c r="G10" s="19">
        <v>-1.7</v>
      </c>
      <c r="H10" s="19">
        <f>E10+F10</f>
        <v>6.4</v>
      </c>
      <c r="I10" s="19">
        <f>AVERAGE(H7:H10)</f>
        <v>1.85</v>
      </c>
      <c r="J10" s="19">
        <f>-G10+J9</f>
        <v>2.5</v>
      </c>
      <c r="K10" s="19">
        <f>1+K9</f>
        <v>7</v>
      </c>
    </row>
    <row r="11" ht="20.05" customHeight="1">
      <c r="B11" s="32"/>
      <c r="C11" s="18">
        <v>32</v>
      </c>
      <c r="D11" s="19"/>
      <c r="E11" s="19">
        <v>-2.7</v>
      </c>
      <c r="F11" s="19">
        <v>-3.4</v>
      </c>
      <c r="G11" s="19">
        <v>5.1</v>
      </c>
      <c r="H11" s="19">
        <f>E11+F11</f>
        <v>-6.1</v>
      </c>
      <c r="I11" s="19">
        <f>AVERAGE(H8:H11)</f>
        <v>-0.575</v>
      </c>
      <c r="J11" s="19">
        <f>-G11+J10</f>
        <v>-2.6</v>
      </c>
      <c r="K11" s="19">
        <f>1+K10</f>
        <v>8</v>
      </c>
    </row>
    <row r="12" ht="20.05" customHeight="1">
      <c r="B12" s="34">
        <v>2017</v>
      </c>
      <c r="C12" s="18">
        <v>41.6</v>
      </c>
      <c r="D12" s="19"/>
      <c r="E12" s="19">
        <v>6.5</v>
      </c>
      <c r="F12" s="19">
        <v>-1.2</v>
      </c>
      <c r="G12" s="19">
        <v>-1.8</v>
      </c>
      <c r="H12" s="19">
        <f>E12+F12</f>
        <v>5.3</v>
      </c>
      <c r="I12" s="19">
        <f>AVERAGE(H9:H12)</f>
        <v>0.25</v>
      </c>
      <c r="J12" s="19">
        <f>-G12+J11</f>
        <v>-0.8</v>
      </c>
      <c r="K12" s="19">
        <f>1+K11</f>
        <v>9</v>
      </c>
    </row>
    <row r="13" ht="20.05" customHeight="1">
      <c r="B13" s="32"/>
      <c r="C13" s="18">
        <v>35.9</v>
      </c>
      <c r="D13" s="19"/>
      <c r="E13" s="19">
        <v>-1.4</v>
      </c>
      <c r="F13" s="19">
        <v>-2.9</v>
      </c>
      <c r="G13" s="19">
        <v>3.6</v>
      </c>
      <c r="H13" s="19">
        <f>E13+F13</f>
        <v>-4.3</v>
      </c>
      <c r="I13" s="19">
        <f>AVERAGE(H10:H13)</f>
        <v>0.325</v>
      </c>
      <c r="J13" s="19">
        <f>-G13+J12</f>
        <v>-4.4</v>
      </c>
      <c r="K13" s="19">
        <f>1+K12</f>
        <v>10</v>
      </c>
    </row>
    <row r="14" ht="20.05" customHeight="1">
      <c r="B14" s="32"/>
      <c r="C14" s="18">
        <v>45.2</v>
      </c>
      <c r="D14" s="19"/>
      <c r="E14" s="19">
        <v>4</v>
      </c>
      <c r="F14" s="19">
        <v>-2.8</v>
      </c>
      <c r="G14" s="19">
        <v>1.2</v>
      </c>
      <c r="H14" s="19">
        <f>E14+F14</f>
        <v>1.2</v>
      </c>
      <c r="I14" s="19">
        <f>AVERAGE(H11:H14)</f>
        <v>-0.975</v>
      </c>
      <c r="J14" s="19">
        <f>-G14+J13</f>
        <v>-5.6</v>
      </c>
      <c r="K14" s="19">
        <f>1+K13</f>
        <v>11</v>
      </c>
    </row>
    <row r="15" ht="20.05" customHeight="1">
      <c r="B15" s="32"/>
      <c r="C15" s="18">
        <v>47.1</v>
      </c>
      <c r="D15" s="19"/>
      <c r="E15" s="19">
        <v>7.4</v>
      </c>
      <c r="F15" s="19">
        <v>-1.9</v>
      </c>
      <c r="G15" s="19">
        <v>-4.2</v>
      </c>
      <c r="H15" s="19">
        <f>E15+F15</f>
        <v>5.5</v>
      </c>
      <c r="I15" s="19">
        <f>AVERAGE(H12:H15)</f>
        <v>1.925</v>
      </c>
      <c r="J15" s="19">
        <f>-G15+J14</f>
        <v>-1.4</v>
      </c>
      <c r="K15" s="19">
        <f>1+K14</f>
        <v>12</v>
      </c>
    </row>
    <row r="16" ht="20.05" customHeight="1">
      <c r="B16" s="34">
        <v>2018</v>
      </c>
      <c r="C16" s="18">
        <v>45.2</v>
      </c>
      <c r="D16" s="19"/>
      <c r="E16" s="19">
        <v>7.7</v>
      </c>
      <c r="F16" s="19">
        <v>-2.2</v>
      </c>
      <c r="G16" s="19">
        <v>-0.9</v>
      </c>
      <c r="H16" s="19">
        <f>E16+F16</f>
        <v>5.5</v>
      </c>
      <c r="I16" s="19">
        <f>AVERAGE(H13:H16)</f>
        <v>1.975</v>
      </c>
      <c r="J16" s="19">
        <f>-G16+J15</f>
        <v>-0.5</v>
      </c>
      <c r="K16" s="19">
        <f>1+K15</f>
        <v>13</v>
      </c>
    </row>
    <row r="17" ht="20.05" customHeight="1">
      <c r="B17" s="32"/>
      <c r="C17" s="18">
        <v>34.1</v>
      </c>
      <c r="D17" s="19"/>
      <c r="E17" s="19">
        <v>-5.8</v>
      </c>
      <c r="F17" s="19">
        <v>-2.7</v>
      </c>
      <c r="G17" s="19">
        <v>8.800000000000001</v>
      </c>
      <c r="H17" s="19">
        <f>E17+F17</f>
        <v>-8.5</v>
      </c>
      <c r="I17" s="19">
        <f>AVERAGE(H14:H17)</f>
        <v>0.925</v>
      </c>
      <c r="J17" s="19">
        <f>-G17+J16</f>
        <v>-9.300000000000001</v>
      </c>
      <c r="K17" s="19">
        <f>1+K16</f>
        <v>14</v>
      </c>
    </row>
    <row r="18" ht="20.05" customHeight="1">
      <c r="B18" s="32"/>
      <c r="C18" s="18">
        <v>43.8</v>
      </c>
      <c r="D18" s="19"/>
      <c r="E18" s="19">
        <v>-4.4</v>
      </c>
      <c r="F18" s="19">
        <v>-1.7</v>
      </c>
      <c r="G18" s="19">
        <v>-0.7</v>
      </c>
      <c r="H18" s="19">
        <f>E18+F18</f>
        <v>-6.1</v>
      </c>
      <c r="I18" s="19">
        <f>AVERAGE(H15:H18)</f>
        <v>-0.9</v>
      </c>
      <c r="J18" s="19">
        <f>-G18+J17</f>
        <v>-8.6</v>
      </c>
      <c r="K18" s="19">
        <f>1+K17</f>
        <v>15</v>
      </c>
    </row>
    <row r="19" ht="20.05" customHeight="1">
      <c r="B19" s="32"/>
      <c r="C19" s="18">
        <v>36</v>
      </c>
      <c r="D19" s="19"/>
      <c r="E19" s="19">
        <v>-0.1</v>
      </c>
      <c r="F19" s="19">
        <v>-3.5</v>
      </c>
      <c r="G19" s="19">
        <v>-13.6</v>
      </c>
      <c r="H19" s="19">
        <f>E19+F19</f>
        <v>-3.6</v>
      </c>
      <c r="I19" s="19">
        <f>AVERAGE(H16:H19)</f>
        <v>-3.175</v>
      </c>
      <c r="J19" s="19">
        <f>-G19+J18</f>
        <v>5</v>
      </c>
      <c r="K19" s="19">
        <f>1+K18</f>
        <v>16</v>
      </c>
    </row>
    <row r="20" ht="20.05" customHeight="1">
      <c r="B20" s="34">
        <v>2019</v>
      </c>
      <c r="C20" s="18">
        <v>33.2</v>
      </c>
      <c r="D20" s="19"/>
      <c r="E20" s="19">
        <v>-0.5</v>
      </c>
      <c r="F20" s="19">
        <v>-2.4</v>
      </c>
      <c r="G20" s="19">
        <v>0.3</v>
      </c>
      <c r="H20" s="19">
        <f>E20+F20</f>
        <v>-2.9</v>
      </c>
      <c r="I20" s="19">
        <f>AVERAGE(H17:H20)</f>
        <v>-5.275</v>
      </c>
      <c r="J20" s="19">
        <f>-G20+J19</f>
        <v>4.7</v>
      </c>
      <c r="K20" s="19">
        <f>1+K19</f>
        <v>17</v>
      </c>
    </row>
    <row r="21" ht="20.05" customHeight="1">
      <c r="B21" s="32"/>
      <c r="C21" s="18">
        <v>26</v>
      </c>
      <c r="D21" s="19"/>
      <c r="E21" s="19">
        <v>-4.9</v>
      </c>
      <c r="F21" s="19">
        <v>-3</v>
      </c>
      <c r="G21" s="19">
        <v>4.9</v>
      </c>
      <c r="H21" s="19">
        <f>E21+F21</f>
        <v>-7.9</v>
      </c>
      <c r="I21" s="19">
        <f>AVERAGE(H18:H21)</f>
        <v>-5.125</v>
      </c>
      <c r="J21" s="19">
        <f>-G21+J20</f>
        <v>-0.2</v>
      </c>
      <c r="K21" s="19">
        <f>1+K20</f>
        <v>18</v>
      </c>
    </row>
    <row r="22" ht="20.05" customHeight="1">
      <c r="B22" s="32"/>
      <c r="C22" s="18">
        <v>39.1</v>
      </c>
      <c r="D22" s="19"/>
      <c r="E22" s="19">
        <v>4.2</v>
      </c>
      <c r="F22" s="19">
        <v>-2.1</v>
      </c>
      <c r="G22" s="19">
        <v>0.1</v>
      </c>
      <c r="H22" s="19">
        <f>E22+F22</f>
        <v>2.1</v>
      </c>
      <c r="I22" s="19">
        <f>AVERAGE(H19:H22)</f>
        <v>-3.075</v>
      </c>
      <c r="J22" s="19">
        <f>-G22+J21</f>
        <v>-0.3</v>
      </c>
      <c r="K22" s="19">
        <f>1+K21</f>
        <v>19</v>
      </c>
    </row>
    <row r="23" ht="20.05" customHeight="1">
      <c r="B23" s="32"/>
      <c r="C23" s="18">
        <v>40</v>
      </c>
      <c r="D23" s="19"/>
      <c r="E23" s="19">
        <v>-1.1</v>
      </c>
      <c r="F23" s="19">
        <v>-0.6</v>
      </c>
      <c r="G23" s="19">
        <v>1</v>
      </c>
      <c r="H23" s="19">
        <f>E23+F23</f>
        <v>-1.7</v>
      </c>
      <c r="I23" s="19">
        <f>AVERAGE(H20:H23)</f>
        <v>-2.6</v>
      </c>
      <c r="J23" s="19">
        <f>-G23+J22</f>
        <v>-1.3</v>
      </c>
      <c r="K23" s="19">
        <f>1+K22</f>
        <v>20</v>
      </c>
    </row>
    <row r="24" ht="20.05" customHeight="1">
      <c r="B24" s="34">
        <v>2020</v>
      </c>
      <c r="C24" s="18">
        <v>32.2</v>
      </c>
      <c r="D24" s="19">
        <v>-0.5</v>
      </c>
      <c r="E24" s="19">
        <v>0.9</v>
      </c>
      <c r="F24" s="19">
        <v>-2.1</v>
      </c>
      <c r="G24" s="19">
        <v>8.9</v>
      </c>
      <c r="H24" s="19">
        <f>E24+F24</f>
        <v>-1.2</v>
      </c>
      <c r="I24" s="19">
        <f>AVERAGE(H21:H24)</f>
        <v>-2.175</v>
      </c>
      <c r="J24" s="19">
        <f>-G24+J23</f>
        <v>-10.2</v>
      </c>
      <c r="K24" s="19">
        <f>1+K23</f>
        <v>21</v>
      </c>
    </row>
    <row r="25" ht="20.05" customHeight="1">
      <c r="B25" s="32"/>
      <c r="C25" s="18">
        <v>19.1</v>
      </c>
      <c r="D25" s="19"/>
      <c r="E25" s="19">
        <v>-5</v>
      </c>
      <c r="F25" s="19">
        <v>-0.4</v>
      </c>
      <c r="G25" s="19">
        <v>-1.8</v>
      </c>
      <c r="H25" s="19">
        <f>E25+F25</f>
        <v>-5.4</v>
      </c>
      <c r="I25" s="19">
        <f>AVERAGE(H22:H25)</f>
        <v>-1.55</v>
      </c>
      <c r="J25" s="19">
        <f>-G25+J24</f>
        <v>-8.4</v>
      </c>
      <c r="K25" s="19">
        <f>1+K24</f>
        <v>22</v>
      </c>
    </row>
    <row r="26" ht="20.05" customHeight="1">
      <c r="B26" s="32"/>
      <c r="C26" s="18">
        <v>26.7</v>
      </c>
      <c r="D26" s="19"/>
      <c r="E26" s="19">
        <v>7.4</v>
      </c>
      <c r="F26" s="19">
        <v>-1.1</v>
      </c>
      <c r="G26" s="19">
        <v>0</v>
      </c>
      <c r="H26" s="19">
        <f>E26+F26</f>
        <v>6.3</v>
      </c>
      <c r="I26" s="19">
        <f>AVERAGE(H23:H26)</f>
        <v>-0.5</v>
      </c>
      <c r="J26" s="19">
        <f>-G26+J25</f>
        <v>-8.4</v>
      </c>
      <c r="K26" s="19">
        <f>1+K25</f>
        <v>23</v>
      </c>
    </row>
    <row r="27" ht="20.05" customHeight="1">
      <c r="B27" s="32"/>
      <c r="C27" s="18">
        <v>32.2</v>
      </c>
      <c r="D27" s="19"/>
      <c r="E27" s="19">
        <v>7.1</v>
      </c>
      <c r="F27" s="19">
        <v>-1.1</v>
      </c>
      <c r="G27" s="19">
        <v>-6.4</v>
      </c>
      <c r="H27" s="19">
        <f>E27+F27</f>
        <v>6</v>
      </c>
      <c r="I27" s="19">
        <f>AVERAGE(H24:H27)</f>
        <v>1.425</v>
      </c>
      <c r="J27" s="19">
        <f>-G27+J26</f>
        <v>-2</v>
      </c>
      <c r="K27" s="19">
        <f>1+K26</f>
        <v>24</v>
      </c>
    </row>
    <row r="28" ht="20.05" customHeight="1">
      <c r="B28" s="34">
        <v>2021</v>
      </c>
      <c r="C28" s="18">
        <f>39.2</f>
        <v>39.2</v>
      </c>
      <c r="D28" s="35">
        <f>-0.5</f>
        <v>-0.5</v>
      </c>
      <c r="E28" s="19">
        <v>11.1</v>
      </c>
      <c r="F28" s="19">
        <v>-1</v>
      </c>
      <c r="G28" s="19">
        <f>-8</f>
        <v>-8</v>
      </c>
      <c r="H28" s="19">
        <f>E28+F28</f>
        <v>10.1</v>
      </c>
      <c r="I28" s="19">
        <f>AVERAGE(H25:H28)</f>
        <v>4.25</v>
      </c>
      <c r="J28" s="19">
        <f>-G28+J27</f>
        <v>6</v>
      </c>
      <c r="K28" s="19">
        <f>1+K27</f>
        <v>25</v>
      </c>
    </row>
    <row r="29" ht="20.05" customHeight="1">
      <c r="B29" s="32"/>
      <c r="C29" s="18">
        <f>77.5-C28</f>
        <v>38.3</v>
      </c>
      <c r="D29" s="35">
        <f>-0.9-D28</f>
        <v>-0.4</v>
      </c>
      <c r="E29" s="19">
        <f>17.6-E28</f>
        <v>6.5</v>
      </c>
      <c r="F29" s="19">
        <f>-2.4-F28</f>
        <v>-1.4</v>
      </c>
      <c r="G29" s="19">
        <f>-13.2-G28</f>
        <v>-5.2</v>
      </c>
      <c r="H29" s="19">
        <f>E29+F29</f>
        <v>5.1</v>
      </c>
      <c r="I29" s="19">
        <f>AVERAGE(H26:H29)</f>
        <v>6.875</v>
      </c>
      <c r="J29" s="19">
        <f>-G29+J28</f>
        <v>11.2</v>
      </c>
      <c r="K29" s="19">
        <f>1+K28</f>
        <v>26</v>
      </c>
    </row>
    <row r="30" ht="20.05" customHeight="1">
      <c r="B30" s="32"/>
      <c r="C30" s="18">
        <f>116.8-SUM(C28:C29)</f>
        <v>39.3</v>
      </c>
      <c r="D30" s="35">
        <f>-1.1-SUM(D28:D29)</f>
        <v>-0.2</v>
      </c>
      <c r="E30" s="19">
        <f>23.1-SUM(E28:E29)</f>
        <v>5.5</v>
      </c>
      <c r="F30" s="19">
        <f>-4.5-SUM(F28:F29)</f>
        <v>-2.1</v>
      </c>
      <c r="G30" s="19">
        <f>-16.7-SUM(G28:G29)</f>
        <v>-3.5</v>
      </c>
      <c r="H30" s="19">
        <f>E30+F30</f>
        <v>3.4</v>
      </c>
      <c r="I30" s="19">
        <f>AVERAGE(H27:H30)</f>
        <v>6.15</v>
      </c>
      <c r="J30" s="19">
        <f>-G30+J29</f>
        <v>14.7</v>
      </c>
      <c r="K30" s="19">
        <f>1+K29</f>
        <v>27</v>
      </c>
    </row>
    <row r="31" ht="20.05" customHeight="1">
      <c r="B31" s="32"/>
      <c r="C31" s="18"/>
      <c r="D31" s="35"/>
      <c r="E31" s="19"/>
      <c r="F31" s="19"/>
      <c r="G31" s="19"/>
      <c r="H31" s="19"/>
      <c r="I31" s="19">
        <f>SUM('Model'!F9:F10)</f>
        <v>1.5384969791443</v>
      </c>
      <c r="J31" s="19">
        <f>'Model'!F33</f>
        <v>20.1945945519862</v>
      </c>
      <c r="K31" s="19"/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2:J26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0.8828" style="40" customWidth="1"/>
    <col min="2" max="10" width="10.2578" style="40" customWidth="1"/>
    <col min="11" max="16384" width="16.3516" style="40" customWidth="1"/>
  </cols>
  <sheetData>
    <row r="1" ht="27.65" customHeight="1">
      <c r="A1" t="s" s="2">
        <v>51</v>
      </c>
      <c r="B1" s="2"/>
      <c r="C1" s="2"/>
      <c r="D1" s="2"/>
      <c r="E1" s="2"/>
      <c r="F1" s="2"/>
      <c r="G1" s="2"/>
      <c r="H1" s="2"/>
      <c r="I1" s="2"/>
      <c r="J1" s="2"/>
    </row>
    <row r="2" ht="38.65" customHeight="1">
      <c r="A2" t="s" s="4">
        <v>1</v>
      </c>
      <c r="B2" t="s" s="4">
        <v>52</v>
      </c>
      <c r="C2" t="s" s="4">
        <v>53</v>
      </c>
      <c r="D2" t="s" s="4">
        <v>54</v>
      </c>
      <c r="E2" t="s" s="4">
        <v>23</v>
      </c>
      <c r="F2" t="s" s="4">
        <v>11</v>
      </c>
      <c r="G2" t="s" s="4">
        <v>12</v>
      </c>
      <c r="H2" t="s" s="4">
        <v>55</v>
      </c>
      <c r="I2" t="s" s="4">
        <v>26</v>
      </c>
      <c r="J2" t="s" s="4">
        <v>34</v>
      </c>
    </row>
    <row r="3" ht="21.1" customHeight="1">
      <c r="A3" s="26">
        <v>2016</v>
      </c>
      <c r="B3" s="38">
        <v>12</v>
      </c>
      <c r="C3" s="29">
        <v>120</v>
      </c>
      <c r="D3" s="29">
        <f>C3-B3</f>
        <v>108</v>
      </c>
      <c r="E3" s="29">
        <v>110</v>
      </c>
      <c r="F3" s="29">
        <v>64</v>
      </c>
      <c r="G3" s="41">
        <v>56</v>
      </c>
      <c r="H3" s="29">
        <f>F3+G3-B3-D3</f>
        <v>0</v>
      </c>
      <c r="I3" s="29">
        <f>B3-F3</f>
        <v>-52</v>
      </c>
      <c r="J3" s="29"/>
    </row>
    <row r="4" ht="20.9" customHeight="1">
      <c r="A4" s="32"/>
      <c r="B4" s="18">
        <v>9</v>
      </c>
      <c r="C4" s="19">
        <v>117</v>
      </c>
      <c r="D4" s="19">
        <f>C4-B4</f>
        <v>108</v>
      </c>
      <c r="E4" s="19">
        <v>113</v>
      </c>
      <c r="F4" s="19">
        <v>62</v>
      </c>
      <c r="G4" s="42">
        <v>55</v>
      </c>
      <c r="H4" s="19">
        <f>F4+G4-B4-D4</f>
        <v>0</v>
      </c>
      <c r="I4" s="19">
        <f>B4-F4</f>
        <v>-53</v>
      </c>
      <c r="J4" s="19"/>
    </row>
    <row r="5" ht="20.9" customHeight="1">
      <c r="A5" s="32"/>
      <c r="B5" s="18">
        <v>14</v>
      </c>
      <c r="C5" s="19">
        <v>119</v>
      </c>
      <c r="D5" s="19">
        <f>C5-B5</f>
        <v>105</v>
      </c>
      <c r="E5" s="19">
        <v>115</v>
      </c>
      <c r="F5" s="19">
        <v>62</v>
      </c>
      <c r="G5" s="42">
        <v>57</v>
      </c>
      <c r="H5" s="19">
        <f>F5+G5-B5-D5</f>
        <v>0</v>
      </c>
      <c r="I5" s="19">
        <f>B5-F5</f>
        <v>-48</v>
      </c>
      <c r="J5" s="19"/>
    </row>
    <row r="6" ht="20.9" customHeight="1">
      <c r="A6" s="32"/>
      <c r="B6" s="18">
        <v>12</v>
      </c>
      <c r="C6" s="19">
        <v>113</v>
      </c>
      <c r="D6" s="19">
        <f>C6-B6</f>
        <v>101</v>
      </c>
      <c r="E6" s="19">
        <v>118</v>
      </c>
      <c r="F6" s="19">
        <v>57</v>
      </c>
      <c r="G6" s="42">
        <v>56</v>
      </c>
      <c r="H6" s="19">
        <f>F6+G6-B6-D6</f>
        <v>0</v>
      </c>
      <c r="I6" s="19">
        <f>B6-F6</f>
        <v>-45</v>
      </c>
      <c r="J6" s="19"/>
    </row>
    <row r="7" ht="20.9" customHeight="1">
      <c r="A7" s="34">
        <v>2017</v>
      </c>
      <c r="B7" s="18">
        <v>16</v>
      </c>
      <c r="C7" s="19">
        <v>120</v>
      </c>
      <c r="D7" s="19">
        <f>C7-B7</f>
        <v>104</v>
      </c>
      <c r="E7" s="19">
        <v>120</v>
      </c>
      <c r="F7" s="19">
        <v>65</v>
      </c>
      <c r="G7" s="42">
        <v>55</v>
      </c>
      <c r="H7" s="19">
        <f>F7+G7-B7-D7</f>
        <v>0</v>
      </c>
      <c r="I7" s="19">
        <f>B7-F7</f>
        <v>-49</v>
      </c>
      <c r="J7" s="19"/>
    </row>
    <row r="8" ht="20.9" customHeight="1">
      <c r="A8" s="32"/>
      <c r="B8" s="18">
        <v>15</v>
      </c>
      <c r="C8" s="19">
        <v>122</v>
      </c>
      <c r="D8" s="19">
        <f>C8-B8</f>
        <v>107</v>
      </c>
      <c r="E8" s="19">
        <v>123</v>
      </c>
      <c r="F8" s="19">
        <v>68</v>
      </c>
      <c r="G8" s="42">
        <v>54</v>
      </c>
      <c r="H8" s="19">
        <f>F8+G8-B8-D8</f>
        <v>0</v>
      </c>
      <c r="I8" s="19">
        <f>B8-F8</f>
        <v>-53</v>
      </c>
      <c r="J8" s="19"/>
    </row>
    <row r="9" ht="20.9" customHeight="1">
      <c r="A9" s="32"/>
      <c r="B9" s="18"/>
      <c r="C9" s="19"/>
      <c r="D9" s="19">
        <f>C9-B9</f>
        <v>0</v>
      </c>
      <c r="E9" s="19"/>
      <c r="F9" s="19"/>
      <c r="G9" s="42"/>
      <c r="H9" s="19">
        <f>F9+G9-B9-D9</f>
        <v>0</v>
      </c>
      <c r="I9" s="19"/>
      <c r="J9" s="19"/>
    </row>
    <row r="10" ht="20.9" customHeight="1">
      <c r="A10" s="32"/>
      <c r="B10" s="18">
        <v>19</v>
      </c>
      <c r="C10" s="19">
        <v>124</v>
      </c>
      <c r="D10" s="19">
        <f>C10-B10</f>
        <v>105</v>
      </c>
      <c r="E10" s="19">
        <v>122</v>
      </c>
      <c r="F10" s="19">
        <v>70</v>
      </c>
      <c r="G10" s="42">
        <v>54</v>
      </c>
      <c r="H10" s="19">
        <f>F10+G10-B10-D10</f>
        <v>0</v>
      </c>
      <c r="I10" s="19">
        <f>B10-F10</f>
        <v>-51</v>
      </c>
      <c r="J10" s="19"/>
    </row>
    <row r="11" ht="20.9" customHeight="1">
      <c r="A11" s="34">
        <v>2018</v>
      </c>
      <c r="B11" s="18">
        <v>19</v>
      </c>
      <c r="C11" s="19">
        <v>124</v>
      </c>
      <c r="D11" s="19">
        <f>C11-B11</f>
        <v>105</v>
      </c>
      <c r="E11" s="19">
        <v>123</v>
      </c>
      <c r="F11" s="19">
        <v>70</v>
      </c>
      <c r="G11" s="42">
        <v>54</v>
      </c>
      <c r="H11" s="19">
        <f>F11+G11-B11-D11</f>
        <v>0</v>
      </c>
      <c r="I11" s="19">
        <f>B11-F11</f>
        <v>-51</v>
      </c>
      <c r="J11" s="19"/>
    </row>
    <row r="12" ht="20.9" customHeight="1">
      <c r="A12" s="32"/>
      <c r="B12" s="18">
        <v>24</v>
      </c>
      <c r="C12" s="19">
        <v>138</v>
      </c>
      <c r="D12" s="19">
        <f>C12-B12</f>
        <v>114</v>
      </c>
      <c r="E12" s="19">
        <v>125</v>
      </c>
      <c r="F12" s="19">
        <v>83</v>
      </c>
      <c r="G12" s="42">
        <v>55</v>
      </c>
      <c r="H12" s="19">
        <f>F12+G12-B12-D12</f>
        <v>0</v>
      </c>
      <c r="I12" s="19">
        <f>B12-F12</f>
        <v>-59</v>
      </c>
      <c r="J12" s="19"/>
    </row>
    <row r="13" ht="20.9" customHeight="1">
      <c r="A13" s="32"/>
      <c r="B13" s="18">
        <v>17</v>
      </c>
      <c r="C13" s="19">
        <v>128</v>
      </c>
      <c r="D13" s="19">
        <f>C13-B13</f>
        <v>111</v>
      </c>
      <c r="E13" s="19">
        <v>126</v>
      </c>
      <c r="F13" s="19">
        <v>75</v>
      </c>
      <c r="G13" s="42">
        <v>53</v>
      </c>
      <c r="H13" s="19">
        <f>F13+G13-B13-D13</f>
        <v>0</v>
      </c>
      <c r="I13" s="19">
        <f>B13-F13</f>
        <v>-58</v>
      </c>
      <c r="J13" s="19"/>
    </row>
    <row r="14" ht="20.9" customHeight="1">
      <c r="A14" s="32"/>
      <c r="B14" s="18">
        <v>13</v>
      </c>
      <c r="C14" s="19">
        <v>126</v>
      </c>
      <c r="D14" s="19">
        <f>C14-B14</f>
        <v>113</v>
      </c>
      <c r="E14" s="19">
        <v>125</v>
      </c>
      <c r="F14" s="19">
        <v>72</v>
      </c>
      <c r="G14" s="42">
        <v>54</v>
      </c>
      <c r="H14" s="19">
        <f>F14+G14-B14-D14</f>
        <v>0</v>
      </c>
      <c r="I14" s="19">
        <f>B14-F14</f>
        <v>-59</v>
      </c>
      <c r="J14" s="19"/>
    </row>
    <row r="15" ht="20.9" customHeight="1">
      <c r="A15" s="34">
        <v>2019</v>
      </c>
      <c r="B15" s="18">
        <v>10</v>
      </c>
      <c r="C15" s="19">
        <v>124</v>
      </c>
      <c r="D15" s="19">
        <f>C15-B15</f>
        <v>114</v>
      </c>
      <c r="E15" s="19">
        <v>127</v>
      </c>
      <c r="F15" s="19">
        <v>71</v>
      </c>
      <c r="G15" s="42">
        <v>53</v>
      </c>
      <c r="H15" s="19">
        <f>F15+G15-B15-D15</f>
        <v>0</v>
      </c>
      <c r="I15" s="19">
        <f>B15-F15</f>
        <v>-61</v>
      </c>
      <c r="J15" s="19"/>
    </row>
    <row r="16" ht="20.9" customHeight="1">
      <c r="A16" s="32"/>
      <c r="B16" s="18">
        <v>7</v>
      </c>
      <c r="C16" s="19">
        <v>127</v>
      </c>
      <c r="D16" s="19">
        <f>C16-B16</f>
        <v>120</v>
      </c>
      <c r="E16" s="19">
        <v>128</v>
      </c>
      <c r="F16" s="19">
        <v>75</v>
      </c>
      <c r="G16" s="42">
        <v>52</v>
      </c>
      <c r="H16" s="19">
        <f>F16+G16-B16-D16</f>
        <v>0</v>
      </c>
      <c r="I16" s="19">
        <f>B16-F16</f>
        <v>-68</v>
      </c>
      <c r="J16" s="19"/>
    </row>
    <row r="17" ht="20.9" customHeight="1">
      <c r="A17" s="32"/>
      <c r="B17" s="18">
        <v>9</v>
      </c>
      <c r="C17" s="19">
        <v>126</v>
      </c>
      <c r="D17" s="19">
        <f>C17-B17</f>
        <v>117</v>
      </c>
      <c r="E17" s="19">
        <v>130</v>
      </c>
      <c r="F17" s="19">
        <v>74</v>
      </c>
      <c r="G17" s="42">
        <v>52</v>
      </c>
      <c r="H17" s="19">
        <f>F17+G17-B17-D17</f>
        <v>0</v>
      </c>
      <c r="I17" s="19">
        <f>B17-F17</f>
        <v>-65</v>
      </c>
      <c r="J17" s="19"/>
    </row>
    <row r="18" ht="20.9" customHeight="1">
      <c r="A18" s="32"/>
      <c r="B18" s="18">
        <v>8</v>
      </c>
      <c r="C18" s="19">
        <v>120</v>
      </c>
      <c r="D18" s="19">
        <f>C18-B18</f>
        <v>112</v>
      </c>
      <c r="E18" s="19">
        <f>131</f>
        <v>131</v>
      </c>
      <c r="F18" s="19">
        <v>68</v>
      </c>
      <c r="G18" s="42">
        <v>52</v>
      </c>
      <c r="H18" s="19">
        <f>F18+G18-B18-D18</f>
        <v>0</v>
      </c>
      <c r="I18" s="19">
        <f>B18-F18</f>
        <v>-60</v>
      </c>
      <c r="J18" s="19"/>
    </row>
    <row r="19" ht="20.9" customHeight="1">
      <c r="A19" s="34">
        <v>2020</v>
      </c>
      <c r="B19" s="18">
        <v>15</v>
      </c>
      <c r="C19" s="19">
        <v>134</v>
      </c>
      <c r="D19" s="19">
        <f>C19-B19</f>
        <v>119</v>
      </c>
      <c r="E19" s="19">
        <v>132</v>
      </c>
      <c r="F19" s="19">
        <v>78</v>
      </c>
      <c r="G19" s="42">
        <v>56</v>
      </c>
      <c r="H19" s="19">
        <f>F19+G19-B19-D19</f>
        <v>0</v>
      </c>
      <c r="I19" s="19">
        <f>B19-F19</f>
        <v>-63</v>
      </c>
      <c r="J19" s="19"/>
    </row>
    <row r="20" ht="20.9" customHeight="1">
      <c r="A20" s="32"/>
      <c r="B20" s="18">
        <v>9</v>
      </c>
      <c r="C20" s="19">
        <v>118</v>
      </c>
      <c r="D20" s="19">
        <f>C20-B20</f>
        <v>109</v>
      </c>
      <c r="E20" s="19">
        <v>134</v>
      </c>
      <c r="F20" s="19">
        <v>70</v>
      </c>
      <c r="G20" s="42">
        <v>48</v>
      </c>
      <c r="H20" s="19">
        <f>F20+G20-B20-D20</f>
        <v>0</v>
      </c>
      <c r="I20" s="19">
        <f>B20-F20</f>
        <v>-61</v>
      </c>
      <c r="J20" s="19"/>
    </row>
    <row r="21" ht="20.9" customHeight="1">
      <c r="A21" s="32"/>
      <c r="B21" s="18">
        <v>15</v>
      </c>
      <c r="C21" s="19">
        <v>124</v>
      </c>
      <c r="D21" s="19">
        <f>C21-B21</f>
        <v>109</v>
      </c>
      <c r="E21" s="19">
        <f>136</f>
        <v>136</v>
      </c>
      <c r="F21" s="19">
        <v>76</v>
      </c>
      <c r="G21" s="42">
        <v>48</v>
      </c>
      <c r="H21" s="19">
        <f>F21+G21-B21-D21</f>
        <v>0</v>
      </c>
      <c r="I21" s="19">
        <f>B21-F21</f>
        <v>-61</v>
      </c>
      <c r="J21" s="19"/>
    </row>
    <row r="22" ht="20.9" customHeight="1">
      <c r="A22" s="32"/>
      <c r="B22" s="18">
        <v>15</v>
      </c>
      <c r="C22" s="19">
        <v>116</v>
      </c>
      <c r="D22" s="19">
        <f>C22-B22</f>
        <v>101</v>
      </c>
      <c r="E22" s="19">
        <f>137+1</f>
        <v>138</v>
      </c>
      <c r="F22" s="19">
        <v>71</v>
      </c>
      <c r="G22" s="19">
        <v>45</v>
      </c>
      <c r="H22" s="19">
        <f>F22+G22-B22-D22</f>
        <v>0</v>
      </c>
      <c r="I22" s="19">
        <f>B22-F22</f>
        <v>-56</v>
      </c>
      <c r="J22" s="19"/>
    </row>
    <row r="23" ht="20.9" customHeight="1">
      <c r="A23" s="34">
        <v>2021</v>
      </c>
      <c r="B23" s="18">
        <v>17</v>
      </c>
      <c r="C23" s="19">
        <v>121</v>
      </c>
      <c r="D23" s="19">
        <f>C23-B23</f>
        <v>104</v>
      </c>
      <c r="E23" s="19">
        <f>138+1</f>
        <v>139</v>
      </c>
      <c r="F23" s="19">
        <f>74</f>
        <v>74</v>
      </c>
      <c r="G23" s="19">
        <v>47</v>
      </c>
      <c r="H23" s="19">
        <f>F23+G23-B23-D23</f>
        <v>0</v>
      </c>
      <c r="I23" s="19">
        <f>B23-F23</f>
        <v>-57</v>
      </c>
      <c r="J23" s="19"/>
    </row>
    <row r="24" ht="20.9" customHeight="1">
      <c r="A24" s="32"/>
      <c r="B24" s="18">
        <v>17</v>
      </c>
      <c r="C24" s="19">
        <v>120</v>
      </c>
      <c r="D24" s="19">
        <f>C24-B24</f>
        <v>103</v>
      </c>
      <c r="E24" s="19">
        <f>140+1</f>
        <v>141</v>
      </c>
      <c r="F24" s="19">
        <v>71</v>
      </c>
      <c r="G24" s="19">
        <v>49</v>
      </c>
      <c r="H24" s="19">
        <f>F24+G24-B24-D24</f>
        <v>0</v>
      </c>
      <c r="I24" s="19">
        <f>B24-F24</f>
        <v>-54</v>
      </c>
      <c r="J24" s="19"/>
    </row>
    <row r="25" ht="20.9" customHeight="1">
      <c r="A25" s="32"/>
      <c r="B25" s="18">
        <v>17</v>
      </c>
      <c r="C25" s="19">
        <v>119</v>
      </c>
      <c r="D25" s="19">
        <f>C25-B25</f>
        <v>102</v>
      </c>
      <c r="E25" s="19">
        <f>142+1</f>
        <v>143</v>
      </c>
      <c r="F25" s="19">
        <v>71</v>
      </c>
      <c r="G25" s="19">
        <v>48</v>
      </c>
      <c r="H25" s="19">
        <f>F25+G25-B25-D25</f>
        <v>0</v>
      </c>
      <c r="I25" s="19">
        <f>B25-F25</f>
        <v>-54</v>
      </c>
      <c r="J25" s="19">
        <f>I25</f>
        <v>-54</v>
      </c>
    </row>
    <row r="26" ht="20.9" customHeight="1">
      <c r="A26" s="32"/>
      <c r="B26" s="18"/>
      <c r="C26" s="19"/>
      <c r="D26" s="19">
        <f>C26-B26</f>
        <v>0</v>
      </c>
      <c r="E26" s="19"/>
      <c r="F26" s="19"/>
      <c r="G26" s="19"/>
      <c r="H26" s="19"/>
      <c r="I26" s="19"/>
      <c r="J26" s="19">
        <f>'Model'!F30</f>
        <v>-49.1937838136097</v>
      </c>
    </row>
  </sheetData>
  <mergeCells count="1">
    <mergeCell ref="A1:J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2:C75"/>
  <sheetViews>
    <sheetView workbookViewId="0" showGridLines="0" defaultGridColor="1"/>
  </sheetViews>
  <sheetFormatPr defaultColWidth="8.33333" defaultRowHeight="19.9" customHeight="1" outlineLevelRow="0" outlineLevelCol="0"/>
  <cols>
    <col min="1" max="1" width="9.35156" style="43" customWidth="1"/>
    <col min="2" max="3" width="11.8516" style="43" customWidth="1"/>
    <col min="4" max="16384" width="8.35156" style="43" customWidth="1"/>
  </cols>
  <sheetData>
    <row r="1" ht="27.65" customHeight="1">
      <c r="A1" t="s" s="2">
        <v>56</v>
      </c>
      <c r="B1" s="2"/>
      <c r="C1" s="2"/>
    </row>
    <row r="2" ht="20.25" customHeight="1">
      <c r="A2" t="s" s="44">
        <v>57</v>
      </c>
      <c r="B2" t="s" s="44">
        <v>58</v>
      </c>
      <c r="C2" t="s" s="44">
        <v>59</v>
      </c>
    </row>
    <row r="3" ht="20.25" customHeight="1">
      <c r="A3" s="45">
        <v>2016</v>
      </c>
      <c r="B3" s="46">
        <v>2703.408447</v>
      </c>
      <c r="C3" s="47"/>
    </row>
    <row r="4" ht="20.05" customHeight="1">
      <c r="A4" s="48"/>
      <c r="B4" s="49">
        <v>2703.408447</v>
      </c>
      <c r="C4" s="50"/>
    </row>
    <row r="5" ht="20.05" customHeight="1">
      <c r="A5" s="48"/>
      <c r="B5" s="49">
        <v>2207.370117</v>
      </c>
      <c r="C5" s="50"/>
    </row>
    <row r="6" ht="20.05" customHeight="1">
      <c r="A6" s="48"/>
      <c r="B6" s="49">
        <v>2182.568115</v>
      </c>
      <c r="C6" s="50"/>
    </row>
    <row r="7" ht="20.05" customHeight="1">
      <c r="A7" s="48"/>
      <c r="B7" s="49">
        <v>2182.568115</v>
      </c>
      <c r="C7" s="50"/>
    </row>
    <row r="8" ht="20.05" customHeight="1">
      <c r="A8" s="48"/>
      <c r="B8" s="49">
        <v>2182.568115</v>
      </c>
      <c r="C8" s="50"/>
    </row>
    <row r="9" ht="20.05" customHeight="1">
      <c r="A9" s="48"/>
      <c r="B9" s="49">
        <v>2232.172119</v>
      </c>
      <c r="C9" s="50"/>
    </row>
    <row r="10" ht="20.05" customHeight="1">
      <c r="A10" s="48"/>
      <c r="B10" s="49">
        <v>2083.360596</v>
      </c>
      <c r="C10" s="50"/>
    </row>
    <row r="11" ht="20.05" customHeight="1">
      <c r="A11" s="48"/>
      <c r="B11" s="49">
        <v>2182.568115</v>
      </c>
      <c r="C11" s="50"/>
    </row>
    <row r="12" ht="20.05" customHeight="1">
      <c r="A12" s="48"/>
      <c r="B12" s="49">
        <v>1984.152954</v>
      </c>
      <c r="C12" s="50"/>
    </row>
    <row r="13" ht="20.05" customHeight="1">
      <c r="A13" s="48"/>
      <c r="B13" s="49">
        <v>1904.786743</v>
      </c>
      <c r="C13" s="50"/>
    </row>
    <row r="14" ht="20.05" customHeight="1">
      <c r="A14" s="48"/>
      <c r="B14" s="49">
        <v>1507.956177</v>
      </c>
      <c r="C14" s="50"/>
    </row>
    <row r="15" ht="20.05" customHeight="1">
      <c r="A15" s="51">
        <v>2017</v>
      </c>
      <c r="B15" s="49">
        <v>2182.568115</v>
      </c>
      <c r="C15" s="50"/>
    </row>
    <row r="16" ht="20.05" customHeight="1">
      <c r="A16" s="48"/>
      <c r="B16" s="49">
        <v>1686.530029</v>
      </c>
      <c r="C16" s="50"/>
    </row>
    <row r="17" ht="20.05" customHeight="1">
      <c r="A17" s="48"/>
      <c r="B17" s="49">
        <v>1686.530029</v>
      </c>
      <c r="C17" s="50"/>
    </row>
    <row r="18" ht="20.05" customHeight="1">
      <c r="A18" s="48"/>
      <c r="B18" s="49">
        <v>1686.530029</v>
      </c>
      <c r="C18" s="50"/>
    </row>
    <row r="19" ht="20.05" customHeight="1">
      <c r="A19" s="48"/>
      <c r="B19" s="49">
        <v>1800</v>
      </c>
      <c r="C19" s="50"/>
    </row>
    <row r="20" ht="20.05" customHeight="1">
      <c r="A20" s="48"/>
      <c r="B20" s="49">
        <v>2200</v>
      </c>
      <c r="C20" s="50"/>
    </row>
    <row r="21" ht="20.05" customHeight="1">
      <c r="A21" s="48"/>
      <c r="B21" s="49">
        <v>2040</v>
      </c>
      <c r="C21" s="50"/>
    </row>
    <row r="22" ht="20.05" customHeight="1">
      <c r="A22" s="48"/>
      <c r="B22" s="49">
        <v>2000</v>
      </c>
      <c r="C22" s="50"/>
    </row>
    <row r="23" ht="20.05" customHeight="1">
      <c r="A23" s="48"/>
      <c r="B23" s="49">
        <v>2100</v>
      </c>
      <c r="C23" s="50"/>
    </row>
    <row r="24" ht="20.05" customHeight="1">
      <c r="A24" s="48"/>
      <c r="B24" s="49">
        <v>1700</v>
      </c>
      <c r="C24" s="50"/>
    </row>
    <row r="25" ht="20.05" customHeight="1">
      <c r="A25" s="48"/>
      <c r="B25" s="49">
        <v>1700</v>
      </c>
      <c r="C25" s="50"/>
    </row>
    <row r="26" ht="20.05" customHeight="1">
      <c r="A26" s="48"/>
      <c r="B26" s="49">
        <v>2180</v>
      </c>
      <c r="C26" s="50"/>
    </row>
    <row r="27" ht="20.05" customHeight="1">
      <c r="A27" s="51">
        <v>2018</v>
      </c>
      <c r="B27" s="49">
        <v>2430</v>
      </c>
      <c r="C27" s="50"/>
    </row>
    <row r="28" ht="20.05" customHeight="1">
      <c r="A28" s="48"/>
      <c r="B28" s="49">
        <v>1915</v>
      </c>
      <c r="C28" s="50"/>
    </row>
    <row r="29" ht="20.05" customHeight="1">
      <c r="A29" s="48"/>
      <c r="B29" s="49">
        <v>2080</v>
      </c>
      <c r="C29" s="50"/>
    </row>
    <row r="30" ht="20.05" customHeight="1">
      <c r="A30" s="48"/>
      <c r="B30" s="49">
        <v>1810</v>
      </c>
      <c r="C30" s="50"/>
    </row>
    <row r="31" ht="20.05" customHeight="1">
      <c r="A31" s="48"/>
      <c r="B31" s="49">
        <v>1905</v>
      </c>
      <c r="C31" s="50"/>
    </row>
    <row r="32" ht="20.05" customHeight="1">
      <c r="A32" s="48"/>
      <c r="B32" s="49">
        <v>2100</v>
      </c>
      <c r="C32" s="50"/>
    </row>
    <row r="33" ht="20.05" customHeight="1">
      <c r="A33" s="48"/>
      <c r="B33" s="49">
        <v>2200</v>
      </c>
      <c r="C33" s="50"/>
    </row>
    <row r="34" ht="20.05" customHeight="1">
      <c r="A34" s="48"/>
      <c r="B34" s="49">
        <v>2180</v>
      </c>
      <c r="C34" s="50"/>
    </row>
    <row r="35" ht="20.05" customHeight="1">
      <c r="A35" s="48"/>
      <c r="B35" s="49">
        <v>2190</v>
      </c>
      <c r="C35" s="50"/>
    </row>
    <row r="36" ht="20.05" customHeight="1">
      <c r="A36" s="48"/>
      <c r="B36" s="49">
        <v>2190</v>
      </c>
      <c r="C36" s="50"/>
    </row>
    <row r="37" ht="20.05" customHeight="1">
      <c r="A37" s="48"/>
      <c r="B37" s="49">
        <v>1910</v>
      </c>
      <c r="C37" s="50"/>
    </row>
    <row r="38" ht="20.05" customHeight="1">
      <c r="A38" s="48"/>
      <c r="B38" s="49">
        <v>2220</v>
      </c>
      <c r="C38" s="50"/>
    </row>
    <row r="39" ht="20.05" customHeight="1">
      <c r="A39" s="51">
        <v>2019</v>
      </c>
      <c r="B39" s="49">
        <v>2200</v>
      </c>
      <c r="C39" s="50"/>
    </row>
    <row r="40" ht="20.05" customHeight="1">
      <c r="A40" s="48"/>
      <c r="B40" s="49">
        <v>2100</v>
      </c>
      <c r="C40" s="50"/>
    </row>
    <row r="41" ht="20.05" customHeight="1">
      <c r="A41" s="48"/>
      <c r="B41" s="49">
        <v>2010</v>
      </c>
      <c r="C41" s="50"/>
    </row>
    <row r="42" ht="20.05" customHeight="1">
      <c r="A42" s="48"/>
      <c r="B42" s="49">
        <v>1900</v>
      </c>
      <c r="C42" s="50"/>
    </row>
    <row r="43" ht="20.05" customHeight="1">
      <c r="A43" s="48"/>
      <c r="B43" s="49">
        <v>1900</v>
      </c>
      <c r="C43" s="50"/>
    </row>
    <row r="44" ht="20.05" customHeight="1">
      <c r="A44" s="48"/>
      <c r="B44" s="49">
        <v>1985</v>
      </c>
      <c r="C44" s="50"/>
    </row>
    <row r="45" ht="20.05" customHeight="1">
      <c r="A45" s="48"/>
      <c r="B45" s="49">
        <v>1985</v>
      </c>
      <c r="C45" s="50"/>
    </row>
    <row r="46" ht="20.05" customHeight="1">
      <c r="A46" s="48"/>
      <c r="B46" s="49">
        <v>1985</v>
      </c>
      <c r="C46" s="50"/>
    </row>
    <row r="47" ht="20.05" customHeight="1">
      <c r="A47" s="48"/>
      <c r="B47" s="49">
        <v>1985</v>
      </c>
      <c r="C47" s="50"/>
    </row>
    <row r="48" ht="20.05" customHeight="1">
      <c r="A48" s="48"/>
      <c r="B48" s="49">
        <v>2000</v>
      </c>
      <c r="C48" s="50"/>
    </row>
    <row r="49" ht="20.05" customHeight="1">
      <c r="A49" s="48"/>
      <c r="B49" s="49">
        <v>2000</v>
      </c>
      <c r="C49" s="50"/>
    </row>
    <row r="50" ht="20.05" customHeight="1">
      <c r="A50" s="48"/>
      <c r="B50" s="49">
        <v>1990</v>
      </c>
      <c r="C50" s="50"/>
    </row>
    <row r="51" ht="20.05" customHeight="1">
      <c r="A51" s="51">
        <v>2020</v>
      </c>
      <c r="B51" s="49">
        <v>1725</v>
      </c>
      <c r="C51" s="50"/>
    </row>
    <row r="52" ht="20.05" customHeight="1">
      <c r="A52" s="48"/>
      <c r="B52" s="49">
        <v>1590</v>
      </c>
      <c r="C52" s="50"/>
    </row>
    <row r="53" ht="20.05" customHeight="1">
      <c r="A53" s="48"/>
      <c r="B53" s="49">
        <v>1445</v>
      </c>
      <c r="C53" s="50"/>
    </row>
    <row r="54" ht="20.05" customHeight="1">
      <c r="A54" s="48"/>
      <c r="B54" s="49">
        <v>1570</v>
      </c>
      <c r="C54" s="50"/>
    </row>
    <row r="55" ht="20.05" customHeight="1">
      <c r="A55" s="48"/>
      <c r="B55" s="49">
        <v>1400</v>
      </c>
      <c r="C55" s="50"/>
    </row>
    <row r="56" ht="20.05" customHeight="1">
      <c r="A56" s="48"/>
      <c r="B56" s="49">
        <v>1450</v>
      </c>
      <c r="C56" s="50"/>
    </row>
    <row r="57" ht="20.05" customHeight="1">
      <c r="A57" s="48"/>
      <c r="B57" s="49">
        <v>1400</v>
      </c>
      <c r="C57" s="50"/>
    </row>
    <row r="58" ht="20.05" customHeight="1">
      <c r="A58" s="48"/>
      <c r="B58" s="49">
        <v>1450</v>
      </c>
      <c r="C58" s="50"/>
    </row>
    <row r="59" ht="20.05" customHeight="1">
      <c r="A59" s="48"/>
      <c r="B59" s="49">
        <v>1355</v>
      </c>
      <c r="C59" s="50"/>
    </row>
    <row r="60" ht="20.05" customHeight="1">
      <c r="A60" s="48"/>
      <c r="B60" s="49">
        <v>1450</v>
      </c>
      <c r="C60" s="50"/>
    </row>
    <row r="61" ht="20.05" customHeight="1">
      <c r="A61" s="48"/>
      <c r="B61" s="49">
        <v>1355</v>
      </c>
      <c r="C61" s="50"/>
    </row>
    <row r="62" ht="20.05" customHeight="1">
      <c r="A62" s="48"/>
      <c r="B62" s="49">
        <v>1405</v>
      </c>
      <c r="C62" s="50"/>
    </row>
    <row r="63" ht="20.05" customHeight="1">
      <c r="A63" s="48"/>
      <c r="B63" s="49">
        <v>1420</v>
      </c>
      <c r="C63" s="50"/>
    </row>
    <row r="64" ht="20.05" customHeight="1">
      <c r="A64" s="51">
        <v>2021</v>
      </c>
      <c r="B64" s="49">
        <v>1410</v>
      </c>
      <c r="C64" s="50"/>
    </row>
    <row r="65" ht="20.05" customHeight="1">
      <c r="A65" s="48"/>
      <c r="B65" s="49">
        <v>3030</v>
      </c>
      <c r="C65" s="50"/>
    </row>
    <row r="66" ht="20.05" customHeight="1">
      <c r="A66" s="48"/>
      <c r="B66" s="49">
        <v>1480</v>
      </c>
      <c r="C66" s="50"/>
    </row>
    <row r="67" ht="20.05" customHeight="1">
      <c r="A67" s="48"/>
      <c r="B67" s="49">
        <v>1470</v>
      </c>
      <c r="C67" s="50"/>
    </row>
    <row r="68" ht="20.05" customHeight="1">
      <c r="A68" s="48"/>
      <c r="B68" s="49">
        <v>1565</v>
      </c>
      <c r="C68" s="50"/>
    </row>
    <row r="69" ht="20.05" customHeight="1">
      <c r="A69" s="48"/>
      <c r="B69" s="49">
        <v>1525</v>
      </c>
      <c r="C69" s="50"/>
    </row>
    <row r="70" ht="20.05" customHeight="1">
      <c r="A70" s="48"/>
      <c r="B70" s="49">
        <v>1510</v>
      </c>
      <c r="C70" s="52">
        <v>3303.820082703070</v>
      </c>
    </row>
    <row r="71" ht="20.05" customHeight="1">
      <c r="A71" s="48"/>
      <c r="B71" s="49">
        <v>1455</v>
      </c>
      <c r="C71" s="52">
        <v>3303.820082703070</v>
      </c>
    </row>
    <row r="72" ht="20.05" customHeight="1">
      <c r="A72" s="48"/>
      <c r="B72" s="49">
        <v>1405</v>
      </c>
      <c r="C72" s="52">
        <v>3303.820082703070</v>
      </c>
    </row>
    <row r="73" ht="20.05" customHeight="1">
      <c r="A73" s="48"/>
      <c r="B73" s="49">
        <v>1420</v>
      </c>
      <c r="C73" s="50"/>
    </row>
    <row r="74" ht="20.05" customHeight="1">
      <c r="A74" s="48"/>
      <c r="B74" s="49">
        <v>1410</v>
      </c>
      <c r="C74" s="52">
        <f>B74</f>
        <v>1410</v>
      </c>
    </row>
    <row r="75" ht="20.05" customHeight="1">
      <c r="A75" s="48"/>
      <c r="B75" s="49"/>
      <c r="C75" s="52">
        <f>'Model'!F43</f>
        <v>2203.009203902230</v>
      </c>
    </row>
  </sheetData>
  <mergeCells count="1">
    <mergeCell ref="A1:C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