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<sst xmlns="http://schemas.openxmlformats.org/spreadsheetml/2006/main" uniqueCount="98">
  <si>
    <t>Financial model</t>
  </si>
  <si>
    <t>$m</t>
  </si>
  <si>
    <t xml:space="preserve"> 4Q 2022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</si>
  <si>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</si>
  <si>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</si>
  <si>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</si>
  <si>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</si>
  <si>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</si>
  <si>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</si>
  <si>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</si>
  <si>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</si>
  <si>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</si>
  <si>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</si>
  <si>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</si>
  <si>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</si>
  <si>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</si>
  <si>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</si>
  <si>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</si>
  <si>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</si>
  <si>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</si>
  <si>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</si>
  <si>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</si>
  <si>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</si>
  <si>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</si>
  <si>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</si>
  <si>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</si>
  <si>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</si>
  <si>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</si>
  <si>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</si>
  <si>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</si>
  <si>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</si>
  <si>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</si>
  <si>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</si>
  <si>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</si>
  <si>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</si>
  <si>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</si>
  <si>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</si>
  <si>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</si>
  <si>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</si>
  <si>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</si>
  <si>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</si>
  <si>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</si>
  <si>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</si>
  <si>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income </t>
  </si>
  <si>
    <t xml:space="preserve">Sales growth </t>
  </si>
  <si>
    <t xml:space="preserve">Cost ratio </t>
  </si>
  <si>
    <t xml:space="preserve">Receipts </t>
  </si>
  <si>
    <t xml:space="preserve">Investment </t>
  </si>
  <si>
    <t>Interest payment</t>
  </si>
  <si>
    <t>Lease</t>
  </si>
  <si>
    <t>Liabilities</t>
  </si>
  <si>
    <t>Equity</t>
  </si>
  <si>
    <t xml:space="preserve">Free cashflow </t>
  </si>
  <si>
    <t>Balance sheet</t>
  </si>
  <si>
    <t xml:space="preserve">  Cash</t>
  </si>
  <si>
    <t xml:space="preserve">Assets </t>
  </si>
  <si>
    <t>Other assets</t>
  </si>
  <si>
    <t xml:space="preserve">Check </t>
  </si>
  <si>
    <t>Goodyear Indonesia Tbk (GDYR) Historical Prices - Investing.com</t>
  </si>
  <si>
    <t>Date</t>
  </si>
  <si>
    <t>Price</t>
  </si>
  <si>
    <t>Target</t>
  </si>
  <si>
    <t>Previous</t>
  </si>
  <si>
    <t>Capital</t>
  </si>
  <si>
    <t xml:space="preserve">Total </t>
  </si>
  <si>
    <t>Table 1</t>
  </si>
  <si>
    <t>Market value</t>
  </si>
  <si>
    <t>GDYR</t>
  </si>
  <si>
    <t xml:space="preserve">capital history </t>
  </si>
  <si>
    <t>of market value</t>
  </si>
  <si>
    <t>paid every year.</t>
  </si>
  <si>
    <t xml:space="preserve">Start date </t>
  </si>
  <si>
    <t xml:space="preserve">Number of quarters </t>
  </si>
  <si>
    <t>Market value $m</t>
  </si>
  <si>
    <t xml:space="preserve">million dollars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</si>
  <si>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</si>
  <si>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</si>
  <si>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</si>
  <si>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</si>
  <si>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</si>
  <si>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</si>
  <si>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</si>
  <si>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raised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</si>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</sst>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_);[Red]\(#,##0%\)"/>
    <numFmt numFmtId="60" formatCode="#,##0%"/>
    <numFmt numFmtId="61" formatCode="[$IDR]0"/>
    <numFmt numFmtId="62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Helvetica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horizontal="right" vertical="center" wrapText="1"/>
    </xf>
    <xf numFmtId="59" fontId="0" borderId="4" applyNumberFormat="1" applyFont="1" applyFill="0" applyBorder="1" applyAlignment="1" applyProtection="0">
      <alignment horizontal="right" vertical="center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horizontal="right" vertical="center" wrapText="1"/>
    </xf>
    <xf numFmtId="38" fontId="0" borderId="7" applyNumberFormat="1" applyFont="1" applyFill="0" applyBorder="1" applyAlignment="1" applyProtection="0">
      <alignment horizontal="right" vertical="center" wrapText="1"/>
    </xf>
    <xf numFmtId="60" fontId="0" borderId="6" applyNumberFormat="1" applyFont="1" applyFill="0" applyBorder="1" applyAlignment="1" applyProtection="0">
      <alignment horizontal="right" vertical="center" wrapText="1"/>
    </xf>
    <xf numFmtId="60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horizontal="right" vertical="center" wrapText="1"/>
    </xf>
    <xf numFmtId="3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4" applyNumberFormat="1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1557"/>
          <c:y val="0.0446026"/>
          <c:w val="0.88936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'!$E$3:$E$16</c:f>
              <c:numCache>
                <c:ptCount val="14"/>
                <c:pt idx="0">
                  <c:v>-8.200000</c:v>
                </c:pt>
                <c:pt idx="1">
                  <c:v>-13.800000</c:v>
                </c:pt>
                <c:pt idx="2">
                  <c:v>-21.300000</c:v>
                </c:pt>
                <c:pt idx="3">
                  <c:v>-28.800000</c:v>
                </c:pt>
                <c:pt idx="4">
                  <c:v>-34.400000</c:v>
                </c:pt>
                <c:pt idx="5">
                  <c:v>-34.400000</c:v>
                </c:pt>
                <c:pt idx="6">
                  <c:v>-34.400000</c:v>
                </c:pt>
                <c:pt idx="7">
                  <c:v>-29.100000</c:v>
                </c:pt>
                <c:pt idx="8">
                  <c:v>-29.200000</c:v>
                </c:pt>
                <c:pt idx="9">
                  <c:v>-21.800000</c:v>
                </c:pt>
                <c:pt idx="10">
                  <c:v>-13.300000</c:v>
                </c:pt>
                <c:pt idx="11">
                  <c:v>-9.800000</c:v>
                </c:pt>
                <c:pt idx="12">
                  <c:v>-24.208000</c:v>
                </c:pt>
                <c:pt idx="13">
                  <c:v>-23.408000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-0.237000</c:v>
                </c:pt>
                <c:pt idx="1">
                  <c:v>-1.227000</c:v>
                </c:pt>
                <c:pt idx="2">
                  <c:v>-2.427000</c:v>
                </c:pt>
                <c:pt idx="3">
                  <c:v>-3.527000</c:v>
                </c:pt>
                <c:pt idx="4">
                  <c:v>-4.727000</c:v>
                </c:pt>
                <c:pt idx="5">
                  <c:v>-5.827000</c:v>
                </c:pt>
                <c:pt idx="6">
                  <c:v>-6.827000</c:v>
                </c:pt>
                <c:pt idx="7">
                  <c:v>-6.827000</c:v>
                </c:pt>
                <c:pt idx="8">
                  <c:v>-7.227000</c:v>
                </c:pt>
                <c:pt idx="9">
                  <c:v>-7.227000</c:v>
                </c:pt>
                <c:pt idx="10">
                  <c:v>-7.227000</c:v>
                </c:pt>
                <c:pt idx="11">
                  <c:v>-7.227000</c:v>
                </c:pt>
                <c:pt idx="12">
                  <c:v>-7.219000</c:v>
                </c:pt>
                <c:pt idx="13">
                  <c:v>-7.219000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-8.437000</c:v>
                </c:pt>
                <c:pt idx="1">
                  <c:v>-15.027000</c:v>
                </c:pt>
                <c:pt idx="2">
                  <c:v>-23.727000</c:v>
                </c:pt>
                <c:pt idx="3">
                  <c:v>-32.327000</c:v>
                </c:pt>
                <c:pt idx="4">
                  <c:v>-39.127000</c:v>
                </c:pt>
                <c:pt idx="5">
                  <c:v>-40.227000</c:v>
                </c:pt>
                <c:pt idx="6">
                  <c:v>-41.227000</c:v>
                </c:pt>
                <c:pt idx="7">
                  <c:v>-35.927000</c:v>
                </c:pt>
                <c:pt idx="8">
                  <c:v>-36.427000</c:v>
                </c:pt>
                <c:pt idx="9">
                  <c:v>-29.027000</c:v>
                </c:pt>
                <c:pt idx="10">
                  <c:v>-20.527000</c:v>
                </c:pt>
                <c:pt idx="11">
                  <c:v>-17.027000</c:v>
                </c:pt>
                <c:pt idx="12">
                  <c:v>-31.427000</c:v>
                </c:pt>
                <c:pt idx="13">
                  <c:v>-30.627000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.5"/>
        <c:minorUnit val="6.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18814"/>
          <c:y val="0.292476"/>
          <c:w val="0.397265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497347</xdr:colOff>
      <xdr:row>1</xdr:row>
      <xdr:rowOff>284397</xdr:rowOff>
    </xdr:from>
    <xdr:to>
      <xdr:col>13</xdr:col>
      <xdr:colOff>478839</xdr:colOff>
      <xdr:row>50</xdr:row>
      <xdr:rowOff>63167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09047" y="535222"/>
          <a:ext cx="8693693" cy="123555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911977</xdr:colOff>
      <xdr:row>21</xdr:row>
      <xdr:rowOff>5498</xdr:rowOff>
    </xdr:from>
    <xdr:to>
      <xdr:col>4</xdr:col>
      <xdr:colOff>508561</xdr:colOff>
      <xdr:row>29</xdr:row>
      <xdr:rowOff>238734</xdr:rowOff>
    </xdr:to>
    <xdr:graphicFrame>
      <xdr:nvGraphicFramePr>
        <xdr:cNvPr id="4" name="2D Line Chart"/>
        <xdr:cNvGraphicFramePr/>
      </xdr:nvGraphicFramePr>
      <xdr:xfrm>
        <a:off x="911977" y="5706528"/>
        <a:ext cx="3355785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122942</xdr:colOff>
      <xdr:row>18</xdr:row>
      <xdr:rowOff>186416</xdr:rowOff>
    </xdr:from>
    <xdr:to>
      <xdr:col>4</xdr:col>
      <xdr:colOff>474890</xdr:colOff>
      <xdr:row>21</xdr:row>
      <xdr:rowOff>161223</xdr:rowOff>
    </xdr:to>
    <xdr:sp>
      <xdr:nvSpPr>
        <xdr:cNvPr id="5" name="GDYR -31 MILLION DOLLARS PAID"/>
        <xdr:cNvSpPr txBox="1"/>
      </xdr:nvSpPr>
      <xdr:spPr>
        <a:xfrm>
          <a:off x="1062742" y="4966061"/>
          <a:ext cx="3171349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GDYR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-31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MILLION DOLLARS PAID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39062" style="1" customWidth="1"/>
    <col min="2" max="2" width="16.4375" style="1" customWidth="1"/>
    <col min="3" max="6" width="8.94531" style="1" customWidth="1"/>
    <col min="7" max="16384" width="16.3516" style="1" customWidth="1"/>
  </cols>
  <sheetData>
    <row r="1" ht="19.7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0.0162707911420439</v>
      </c>
      <c r="D4" s="8"/>
      <c r="E4" s="8"/>
      <c r="F4" s="8">
        <f>AVERAGE(C5:F5)</f>
        <v>0.03</v>
      </c>
    </row>
    <row r="5" ht="20.05" customHeight="1">
      <c r="B5" t="s" s="9">
        <v>4</v>
      </c>
      <c r="C5" s="10">
        <v>0.05</v>
      </c>
      <c r="D5" s="11">
        <v>0.05</v>
      </c>
      <c r="E5" s="11">
        <v>0.03</v>
      </c>
      <c r="F5" s="11">
        <v>-0.01</v>
      </c>
    </row>
    <row r="6" ht="20.05" customHeight="1">
      <c r="B6" t="s" s="9">
        <v>5</v>
      </c>
      <c r="C6" s="12">
        <f>'Sales'!C32*(1+C5)</f>
        <v>43.995</v>
      </c>
      <c r="D6" s="13">
        <f>C6*(1+D5)</f>
        <v>46.19475</v>
      </c>
      <c r="E6" s="13">
        <f>D6*(1+E5)</f>
        <v>47.5805925</v>
      </c>
      <c r="F6" s="13">
        <f>E6*(1+F5)</f>
        <v>47.104786575</v>
      </c>
    </row>
    <row r="7" ht="20.05" customHeight="1">
      <c r="B7" t="s" s="9">
        <v>6</v>
      </c>
      <c r="C7" s="14">
        <f>AVERAGE('Sales'!I31)</f>
        <v>-0.939609078099384</v>
      </c>
      <c r="D7" s="15">
        <f>C7</f>
        <v>-0.939609078099384</v>
      </c>
      <c r="E7" s="15">
        <f>D7</f>
        <v>-0.939609078099384</v>
      </c>
      <c r="F7" s="15">
        <f>E7</f>
        <v>-0.939609078099384</v>
      </c>
    </row>
    <row r="8" ht="20.05" customHeight="1">
      <c r="B8" t="s" s="9">
        <v>7</v>
      </c>
      <c r="C8" s="16">
        <f>C6*C7</f>
        <v>-41.3381013909824</v>
      </c>
      <c r="D8" s="17">
        <f>D6*D7</f>
        <v>-43.4050064605315</v>
      </c>
      <c r="E8" s="17">
        <f>E6*E7</f>
        <v>-44.7071566543475</v>
      </c>
      <c r="F8" s="17">
        <f>F6*F7</f>
        <v>-44.260085087804</v>
      </c>
    </row>
    <row r="9" ht="20.05" customHeight="1">
      <c r="B9" t="s" s="9">
        <v>8</v>
      </c>
      <c r="C9" s="18">
        <f>C6+C8</f>
        <v>2.6568986090176</v>
      </c>
      <c r="D9" s="19">
        <f>D6+D8</f>
        <v>2.7897435394685</v>
      </c>
      <c r="E9" s="19">
        <f>E6+E8</f>
        <v>2.8734358456525</v>
      </c>
      <c r="F9" s="19">
        <f>F6+F8</f>
        <v>2.844701487196</v>
      </c>
    </row>
    <row r="10" ht="20.05" customHeight="1">
      <c r="B10" t="s" s="9">
        <v>9</v>
      </c>
      <c r="C10" s="16">
        <f>AVERAGE('Cashflow'!E31)</f>
        <v>-1</v>
      </c>
      <c r="D10" s="17">
        <f>C10</f>
        <v>-1</v>
      </c>
      <c r="E10" s="17">
        <f>D10</f>
        <v>-1</v>
      </c>
      <c r="F10" s="17">
        <f>E10</f>
        <v>-1</v>
      </c>
    </row>
    <row r="11" ht="20.05" customHeight="1">
      <c r="B11" t="s" s="9">
        <v>10</v>
      </c>
      <c r="C11" s="16">
        <f>C12+C15+C13</f>
        <v>-1.6568986090176</v>
      </c>
      <c r="D11" s="17">
        <f>D12+D15+D13</f>
        <v>-1.7897435394685</v>
      </c>
      <c r="E11" s="17">
        <f>E12+E15+E13</f>
        <v>-1.8734358456525</v>
      </c>
      <c r="F11" s="17">
        <f>F12+F15+F13</f>
        <v>-1.844701487196</v>
      </c>
    </row>
    <row r="12" ht="20.05" customHeight="1">
      <c r="B12" t="s" s="9">
        <v>11</v>
      </c>
      <c r="C12" s="16">
        <f>-('Balance Sheet '!F27)/20</f>
        <v>-3.95</v>
      </c>
      <c r="D12" s="17">
        <f>-C27/20</f>
        <v>-3.7525</v>
      </c>
      <c r="E12" s="17">
        <f>-D27/20</f>
        <v>-3.564875</v>
      </c>
      <c r="F12" s="17">
        <f>-E27/20</f>
        <v>-3.38663125</v>
      </c>
    </row>
    <row r="13" ht="20.05" customHeight="1">
      <c r="B13" t="s" s="9">
        <v>12</v>
      </c>
      <c r="C13" s="16">
        <f>-MIN(0,C16)</f>
        <v>2.2931013909824</v>
      </c>
      <c r="D13" s="17">
        <f>-MIN(C28,D16)</f>
        <v>1.9627564605315</v>
      </c>
      <c r="E13" s="17">
        <f>-MIN(D28,E16)</f>
        <v>1.6914391543475</v>
      </c>
      <c r="F13" s="17">
        <f>-MIN(E28,F16)</f>
        <v>1.541929762804</v>
      </c>
    </row>
    <row r="14" ht="20.05" customHeight="1">
      <c r="B14" t="s" s="9">
        <v>13</v>
      </c>
      <c r="C14" s="16">
        <v>0</v>
      </c>
      <c r="D14" s="17"/>
      <c r="E14" s="17"/>
      <c r="F14" s="17"/>
    </row>
    <row r="15" ht="20.05" customHeight="1">
      <c r="B15" t="s" s="9">
        <v>14</v>
      </c>
      <c r="C15" s="16">
        <f>IF(C22&gt;0,-C22*$C$14,0)</f>
        <v>0</v>
      </c>
      <c r="D15" s="17">
        <f>IF(D22&gt;0,-D22*$C$14,0)</f>
        <v>0</v>
      </c>
      <c r="E15" s="17">
        <f>IF(E22&gt;0,-E22*$C$14,0)</f>
        <v>0</v>
      </c>
      <c r="F15" s="17">
        <f>IF(F22&gt;0,-F22*$C$14,0)</f>
        <v>0</v>
      </c>
    </row>
    <row r="16" ht="20.05" customHeight="1">
      <c r="B16" t="s" s="9">
        <v>15</v>
      </c>
      <c r="C16" s="16">
        <f>C9+C10+C12+C15</f>
        <v>-2.2931013909824</v>
      </c>
      <c r="D16" s="17">
        <f>D9+D10+D12+D15</f>
        <v>-1.9627564605315</v>
      </c>
      <c r="E16" s="17">
        <f>E9+E10+E12+E15</f>
        <v>-1.6914391543475</v>
      </c>
      <c r="F16" s="17">
        <f>F9+F10+F12+F15</f>
        <v>-1.541929762804</v>
      </c>
    </row>
    <row r="17" ht="20.05" customHeight="1">
      <c r="B17" t="s" s="9">
        <v>16</v>
      </c>
      <c r="C17" s="16">
        <f>'Balance Sheet '!B27</f>
        <v>15</v>
      </c>
      <c r="D17" s="17">
        <f>C19</f>
        <v>15</v>
      </c>
      <c r="E17" s="17">
        <f>D19</f>
        <v>15</v>
      </c>
      <c r="F17" s="17">
        <f>E19</f>
        <v>15</v>
      </c>
    </row>
    <row r="18" ht="20.05" customHeight="1">
      <c r="B18" t="s" s="9">
        <v>17</v>
      </c>
      <c r="C18" s="16">
        <f>C9+C10+C11</f>
        <v>0</v>
      </c>
      <c r="D18" s="17">
        <f>D9+D10+D11</f>
        <v>0</v>
      </c>
      <c r="E18" s="17">
        <f>E9+E10+E11</f>
        <v>0</v>
      </c>
      <c r="F18" s="17">
        <f>F9+F10+F11</f>
        <v>0</v>
      </c>
    </row>
    <row r="19" ht="20.05" customHeight="1">
      <c r="B19" t="s" s="9">
        <v>18</v>
      </c>
      <c r="C19" s="16">
        <f>C17+C18</f>
        <v>15</v>
      </c>
      <c r="D19" s="17">
        <f>D17+D18</f>
        <v>15</v>
      </c>
      <c r="E19" s="17">
        <f>E17+E18</f>
        <v>15</v>
      </c>
      <c r="F19" s="17">
        <f>F17+F18</f>
        <v>15</v>
      </c>
    </row>
    <row r="20" ht="20.05" customHeight="1">
      <c r="B20" t="s" s="20">
        <v>19</v>
      </c>
      <c r="C20" s="21"/>
      <c r="D20" s="22"/>
      <c r="E20" s="22"/>
      <c r="F20" s="19">
        <f>SUM(C15:F15)</f>
        <v>0</v>
      </c>
    </row>
    <row r="21" ht="20.05" customHeight="1">
      <c r="B21" t="s" s="9">
        <v>20</v>
      </c>
      <c r="C21" s="16">
        <f>-AVERAGE('Sales'!E32)</f>
        <v>-1.8</v>
      </c>
      <c r="D21" s="17">
        <f>C21</f>
        <v>-1.8</v>
      </c>
      <c r="E21" s="17">
        <f>D21</f>
        <v>-1.8</v>
      </c>
      <c r="F21" s="17">
        <f>E21</f>
        <v>-1.8</v>
      </c>
    </row>
    <row r="22" ht="20.05" customHeight="1">
      <c r="B22" t="s" s="9">
        <v>21</v>
      </c>
      <c r="C22" s="16">
        <f>C6+C8+C21</f>
        <v>0.8568986090176</v>
      </c>
      <c r="D22" s="17">
        <f>D6+D8+D21</f>
        <v>0.9897435394685</v>
      </c>
      <c r="E22" s="17">
        <f>E6+E8+E21</f>
        <v>1.0734358456525</v>
      </c>
      <c r="F22" s="17">
        <f>F6+F8+F21</f>
        <v>1.044701487196</v>
      </c>
    </row>
    <row r="23" ht="20.05" customHeight="1">
      <c r="B23" t="s" s="20">
        <v>22</v>
      </c>
      <c r="C23" s="21"/>
      <c r="D23" s="22"/>
      <c r="E23" s="22"/>
      <c r="F23" s="19"/>
    </row>
    <row r="24" ht="20.05" customHeight="1">
      <c r="B24" t="s" s="9">
        <v>23</v>
      </c>
      <c r="C24" s="16">
        <f>'Balance Sheet '!D27+'Balance Sheet '!E27-C10</f>
        <v>258</v>
      </c>
      <c r="D24" s="17">
        <f>C24-D10</f>
        <v>259</v>
      </c>
      <c r="E24" s="17">
        <f>D24-E10</f>
        <v>260</v>
      </c>
      <c r="F24" s="17">
        <f>E24-F10</f>
        <v>261</v>
      </c>
    </row>
    <row r="25" ht="20.05" customHeight="1">
      <c r="B25" t="s" s="9">
        <v>24</v>
      </c>
      <c r="C25" s="16">
        <f>'Balance Sheet '!E27-C21</f>
        <v>147.8</v>
      </c>
      <c r="D25" s="17">
        <f>C25-D21</f>
        <v>149.6</v>
      </c>
      <c r="E25" s="17">
        <f>D25-E21</f>
        <v>151.4</v>
      </c>
      <c r="F25" s="17">
        <f>E25-F21</f>
        <v>153.2</v>
      </c>
    </row>
    <row r="26" ht="20.05" customHeight="1">
      <c r="B26" t="s" s="9">
        <v>25</v>
      </c>
      <c r="C26" s="16">
        <f>C24-C25</f>
        <v>110.2</v>
      </c>
      <c r="D26" s="17">
        <f>D24-D25</f>
        <v>109.4</v>
      </c>
      <c r="E26" s="17">
        <f>E24-E25</f>
        <v>108.6</v>
      </c>
      <c r="F26" s="17">
        <f>F24-F25</f>
        <v>107.8</v>
      </c>
    </row>
    <row r="27" ht="20.05" customHeight="1">
      <c r="B27" t="s" s="9">
        <v>11</v>
      </c>
      <c r="C27" s="16">
        <f>'Balance Sheet '!F27+C12</f>
        <v>75.05</v>
      </c>
      <c r="D27" s="17">
        <f>C27+D12</f>
        <v>71.2975</v>
      </c>
      <c r="E27" s="17">
        <f>D27+E12</f>
        <v>67.732625</v>
      </c>
      <c r="F27" s="17">
        <f>E27+F12</f>
        <v>64.34599375000001</v>
      </c>
    </row>
    <row r="28" ht="20.05" customHeight="1">
      <c r="B28" t="s" s="9">
        <v>12</v>
      </c>
      <c r="C28" s="16">
        <f>C13</f>
        <v>2.2931013909824</v>
      </c>
      <c r="D28" s="17">
        <f>C28+D13</f>
        <v>4.2558578515139</v>
      </c>
      <c r="E28" s="17">
        <f>D28+E13</f>
        <v>5.9472970058614</v>
      </c>
      <c r="F28" s="17">
        <f>E28+F13</f>
        <v>7.4892267686654</v>
      </c>
    </row>
    <row r="29" ht="20.05" customHeight="1">
      <c r="B29" t="s" s="9">
        <v>14</v>
      </c>
      <c r="C29" s="16">
        <f>'Balance Sheet '!G27+C22+C15</f>
        <v>47.8568986090176</v>
      </c>
      <c r="D29" s="17">
        <f>C29+D22+D15</f>
        <v>48.8466421484861</v>
      </c>
      <c r="E29" s="17">
        <f>D29+E22+E15</f>
        <v>49.9200779941386</v>
      </c>
      <c r="F29" s="17">
        <f>E29+F22+F15</f>
        <v>50.9647794813346</v>
      </c>
    </row>
    <row r="30" ht="20.05" customHeight="1">
      <c r="B30" t="s" s="9">
        <v>26</v>
      </c>
      <c r="C30" s="18">
        <f>C27+C28+C29-C19-C26</f>
        <v>0</v>
      </c>
      <c r="D30" s="19">
        <f>D27+D28+D29-D19-D26</f>
        <v>0</v>
      </c>
      <c r="E30" s="19">
        <f>E27+E28+E29-E19-E26</f>
        <v>0</v>
      </c>
      <c r="F30" s="19">
        <f>F27+F28+F29-F19-F26</f>
        <v>0</v>
      </c>
    </row>
    <row r="31" ht="20.05" customHeight="1">
      <c r="B31" t="s" s="9">
        <v>27</v>
      </c>
      <c r="C31" s="18">
        <f>C19-C27-C28</f>
        <v>-62.3431013909824</v>
      </c>
      <c r="D31" s="19">
        <f>D19-D27-D28</f>
        <v>-60.5533578515139</v>
      </c>
      <c r="E31" s="19">
        <f>E19-E27-E28</f>
        <v>-58.6799220058614</v>
      </c>
      <c r="F31" s="19">
        <f>F19-F27-F28</f>
        <v>-56.8352205186654</v>
      </c>
    </row>
    <row r="32" ht="20.05" customHeight="1">
      <c r="B32" t="s" s="20">
        <v>28</v>
      </c>
      <c r="C32" s="18"/>
      <c r="D32" s="19"/>
      <c r="E32" s="19"/>
      <c r="F32" s="19"/>
    </row>
    <row r="33" ht="20.05" customHeight="1">
      <c r="B33" t="s" s="9">
        <v>29</v>
      </c>
      <c r="C33" s="18"/>
      <c r="D33" s="19"/>
      <c r="E33" s="19"/>
      <c r="F33" s="19">
        <v>14</v>
      </c>
    </row>
    <row r="34" ht="20.05" customHeight="1">
      <c r="B34" t="s" s="9">
        <v>30</v>
      </c>
      <c r="C34" s="18">
        <f>'Cashflow'!N32-C11</f>
        <v>14.9568986090176</v>
      </c>
      <c r="D34" s="19">
        <f>C34-D11</f>
        <v>16.7466421484861</v>
      </c>
      <c r="E34" s="19">
        <f>D34-E11</f>
        <v>18.6200779941386</v>
      </c>
      <c r="F34" s="19">
        <f>E34-F11</f>
        <v>20.4647794813346</v>
      </c>
    </row>
    <row r="35" ht="20.05" customHeight="1">
      <c r="B35" t="s" s="9">
        <v>31</v>
      </c>
      <c r="C35" s="18"/>
      <c r="D35" s="19"/>
      <c r="E35" s="19"/>
      <c r="F35" s="19">
        <v>547350000000</v>
      </c>
    </row>
    <row r="36" ht="20.05" customHeight="1">
      <c r="B36" t="s" s="9">
        <v>31</v>
      </c>
      <c r="C36" s="18"/>
      <c r="D36" s="19"/>
      <c r="E36" s="19"/>
      <c r="F36" s="19">
        <f>(F35/1000000000)/F33</f>
        <v>39.0964285714286</v>
      </c>
    </row>
    <row r="37" ht="20.05" customHeight="1">
      <c r="B37" t="s" s="9">
        <v>32</v>
      </c>
      <c r="C37" s="18"/>
      <c r="D37" s="19"/>
      <c r="E37" s="19"/>
      <c r="F37" s="23">
        <f>F36/(F19+F26)</f>
        <v>0.318374825500233</v>
      </c>
    </row>
    <row r="38" ht="20.05" customHeight="1">
      <c r="B38" t="s" s="9">
        <v>33</v>
      </c>
      <c r="C38" s="18"/>
      <c r="D38" s="19"/>
      <c r="E38" s="19"/>
      <c r="F38" s="24">
        <f>-(C15+D15+E15+F15)/F36</f>
        <v>0</v>
      </c>
    </row>
    <row r="39" ht="20.05" customHeight="1">
      <c r="B39" t="s" s="9">
        <v>3</v>
      </c>
      <c r="C39" s="18"/>
      <c r="D39" s="19"/>
      <c r="E39" s="19"/>
      <c r="F39" s="19">
        <f>SUM(C9:F10)</f>
        <v>7.1647794813346</v>
      </c>
    </row>
    <row r="40" ht="20.05" customHeight="1">
      <c r="B40" t="s" s="9">
        <v>34</v>
      </c>
      <c r="C40" s="18"/>
      <c r="D40" s="19"/>
      <c r="E40" s="19"/>
      <c r="F40" s="19">
        <f>'Balance Sheet '!D27/F39</f>
        <v>15.492451692222</v>
      </c>
    </row>
    <row r="41" ht="20.05" customHeight="1">
      <c r="B41" t="s" s="9">
        <v>28</v>
      </c>
      <c r="C41" s="18"/>
      <c r="D41" s="19"/>
      <c r="E41" s="19"/>
      <c r="F41" s="19">
        <f>F36/F39</f>
        <v>5.45675253136277</v>
      </c>
    </row>
    <row r="42" ht="20.05" customHeight="1">
      <c r="B42" t="s" s="9">
        <v>35</v>
      </c>
      <c r="C42" s="18"/>
      <c r="D42" s="19"/>
      <c r="E42" s="19"/>
      <c r="F42" s="19">
        <v>8</v>
      </c>
    </row>
    <row r="43" ht="20.05" customHeight="1">
      <c r="B43" t="s" s="9">
        <v>36</v>
      </c>
      <c r="C43" s="18"/>
      <c r="D43" s="19"/>
      <c r="E43" s="19"/>
      <c r="F43" s="19">
        <f>F39*F42</f>
        <v>57.3182358506768</v>
      </c>
    </row>
    <row r="44" ht="20.05" customHeight="1">
      <c r="B44" t="s" s="9">
        <v>37</v>
      </c>
      <c r="C44" s="18"/>
      <c r="D44" s="19"/>
      <c r="E44" s="19"/>
      <c r="F44" s="19">
        <f>(F35/1000000000)/F46</f>
        <v>0.41</v>
      </c>
    </row>
    <row r="45" ht="20.05" customHeight="1">
      <c r="B45" t="s" s="9">
        <v>38</v>
      </c>
      <c r="C45" s="18"/>
      <c r="D45" s="19"/>
      <c r="E45" s="19"/>
      <c r="F45" s="19">
        <f>(F43/F44)*F33</f>
        <v>1957.208053437740</v>
      </c>
    </row>
    <row r="46" ht="20.05" customHeight="1">
      <c r="B46" t="s" s="9">
        <v>39</v>
      </c>
      <c r="C46" s="18"/>
      <c r="D46" s="19"/>
      <c r="E46" s="19"/>
      <c r="F46" s="19">
        <v>1335</v>
      </c>
    </row>
    <row r="47" ht="20.05" customHeight="1">
      <c r="B47" t="s" s="9">
        <v>40</v>
      </c>
      <c r="C47" s="18"/>
      <c r="D47" s="19"/>
      <c r="E47" s="19"/>
      <c r="F47" s="24">
        <f>F45/F46-1</f>
        <v>0.46607344826797</v>
      </c>
    </row>
    <row r="48" ht="20.05" customHeight="1">
      <c r="B48" t="s" s="9">
        <v>41</v>
      </c>
      <c r="C48" s="18"/>
      <c r="D48" s="19"/>
      <c r="E48" s="19"/>
      <c r="F48" s="24">
        <f>'Sales'!C32/'Sales'!C28-1</f>
        <v>0.0554156171284635</v>
      </c>
    </row>
    <row r="49" ht="20.05" customHeight="1">
      <c r="B49" t="s" s="9">
        <v>42</v>
      </c>
      <c r="C49" s="18"/>
      <c r="D49" s="19"/>
      <c r="E49" s="19"/>
      <c r="F49" s="24">
        <f>'Sales'!F35/'Sales'!E35-1</f>
        <v>-0.008365434669443001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3594" style="25" customWidth="1"/>
    <col min="2" max="2" width="9.39062" style="25" customWidth="1"/>
    <col min="3" max="10" width="10.5547" style="25" customWidth="1"/>
    <col min="11" max="16384" width="16.3516" style="25" customWidth="1"/>
  </cols>
  <sheetData>
    <row r="1" ht="33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6">
        <v>2015</v>
      </c>
      <c r="C4" s="27">
        <v>41.8</v>
      </c>
      <c r="D4" s="28"/>
      <c r="E4" s="29">
        <v>3.4</v>
      </c>
      <c r="F4" s="29">
        <v>-0.2</v>
      </c>
      <c r="G4" s="30"/>
      <c r="H4" s="31">
        <f>(E4+F4-C4)/C4</f>
        <v>-0.923444976076555</v>
      </c>
      <c r="I4" s="31"/>
      <c r="J4" s="31"/>
    </row>
    <row r="5" ht="20.05" customHeight="1">
      <c r="B5" s="32"/>
      <c r="C5" s="21">
        <v>37.4</v>
      </c>
      <c r="D5" s="33"/>
      <c r="E5" s="19">
        <v>3.3</v>
      </c>
      <c r="F5" s="19">
        <v>-0.1</v>
      </c>
      <c r="G5" s="24">
        <f>C5/C4-1</f>
        <v>-0.105263157894737</v>
      </c>
      <c r="H5" s="24">
        <f>(E5+F5-C5)/C5</f>
        <v>-0.914438502673797</v>
      </c>
      <c r="I5" s="24"/>
      <c r="J5" s="24"/>
    </row>
    <row r="6" ht="20.05" customHeight="1">
      <c r="B6" s="32"/>
      <c r="C6" s="21">
        <v>32.2</v>
      </c>
      <c r="D6" s="33"/>
      <c r="E6" s="19">
        <v>-6.7</v>
      </c>
      <c r="F6" s="19">
        <v>-0.8</v>
      </c>
      <c r="G6" s="24">
        <f>C6/C5-1</f>
        <v>-0.13903743315508</v>
      </c>
      <c r="H6" s="24">
        <f>(E6+F6-C6)/C6</f>
        <v>-1.23291925465839</v>
      </c>
      <c r="I6" s="24"/>
      <c r="J6" s="24"/>
    </row>
    <row r="7" ht="20.05" customHeight="1">
      <c r="B7" s="32"/>
      <c r="C7" s="21">
        <v>43</v>
      </c>
      <c r="D7" s="33"/>
      <c r="E7" s="19">
        <v>11.6</v>
      </c>
      <c r="F7" s="19">
        <v>1</v>
      </c>
      <c r="G7" s="24">
        <f>C7/C6-1</f>
        <v>0.335403726708075</v>
      </c>
      <c r="H7" s="24">
        <f>(E7+F7-C7)/C7</f>
        <v>-0.7069767441860469</v>
      </c>
      <c r="I7" s="24"/>
      <c r="J7" s="24"/>
    </row>
    <row r="8" ht="20.05" customHeight="1">
      <c r="B8" s="34">
        <v>2016</v>
      </c>
      <c r="C8" s="21">
        <v>40.6</v>
      </c>
      <c r="D8" s="33"/>
      <c r="E8" s="19">
        <v>2.9</v>
      </c>
      <c r="F8" s="19">
        <v>0.6</v>
      </c>
      <c r="G8" s="24">
        <f>C8/C7-1</f>
        <v>-0.0558139534883721</v>
      </c>
      <c r="H8" s="24">
        <f>(E8+F8-C8)/C8</f>
        <v>-0.913793103448276</v>
      </c>
      <c r="I8" s="24"/>
      <c r="J8" s="24"/>
    </row>
    <row r="9" ht="20.05" customHeight="1">
      <c r="B9" s="32"/>
      <c r="C9" s="21">
        <v>39.2</v>
      </c>
      <c r="D9" s="33"/>
      <c r="E9" s="19">
        <v>2.8</v>
      </c>
      <c r="F9" s="19">
        <v>-0.62</v>
      </c>
      <c r="G9" s="24">
        <f>C9/C8-1</f>
        <v>-0.0344827586206897</v>
      </c>
      <c r="H9" s="24">
        <f>(E9+F9-C9)/C9</f>
        <v>-0.944387755102041</v>
      </c>
      <c r="I9" s="24"/>
      <c r="J9" s="24"/>
    </row>
    <row r="10" ht="20.05" customHeight="1">
      <c r="B10" s="32"/>
      <c r="C10" s="21">
        <v>36.6</v>
      </c>
      <c r="D10" s="33"/>
      <c r="E10" s="19">
        <v>2.3</v>
      </c>
      <c r="F10" s="19">
        <v>1.12</v>
      </c>
      <c r="G10" s="24">
        <f>C10/C9-1</f>
        <v>-0.0663265306122449</v>
      </c>
      <c r="H10" s="24">
        <f>(E10+F10-C10)/C10</f>
        <v>-0.90655737704918</v>
      </c>
      <c r="I10" s="24"/>
      <c r="J10" s="24"/>
    </row>
    <row r="11" ht="20.05" customHeight="1">
      <c r="B11" s="32"/>
      <c r="C11" s="21">
        <v>38.8</v>
      </c>
      <c r="D11" s="33"/>
      <c r="E11" s="19">
        <v>2.9</v>
      </c>
      <c r="F11" s="19">
        <v>0.6</v>
      </c>
      <c r="G11" s="24">
        <f>C11/C10-1</f>
        <v>0.0601092896174863</v>
      </c>
      <c r="H11" s="24">
        <f>(E11+F11-C11)/C11</f>
        <v>-0.90979381443299</v>
      </c>
      <c r="I11" s="24"/>
      <c r="J11" s="24"/>
    </row>
    <row r="12" ht="20.05" customHeight="1">
      <c r="B12" s="34">
        <v>2017</v>
      </c>
      <c r="C12" s="21">
        <v>37.9</v>
      </c>
      <c r="D12" s="33"/>
      <c r="E12" s="19">
        <v>2.7</v>
      </c>
      <c r="F12" s="19">
        <v>-1.2</v>
      </c>
      <c r="G12" s="24">
        <f>C12/C11-1</f>
        <v>-0.0231958762886598</v>
      </c>
      <c r="H12" s="24">
        <f>(E12+F12-C12)/C12</f>
        <v>-0.9604221635883911</v>
      </c>
      <c r="I12" s="24">
        <f>AVERAGE(H9:H12)</f>
        <v>-0.930290277543151</v>
      </c>
      <c r="J12" s="24"/>
    </row>
    <row r="13" ht="20.05" customHeight="1">
      <c r="B13" s="32"/>
      <c r="C13" s="21">
        <v>37.8</v>
      </c>
      <c r="D13" s="33"/>
      <c r="E13" s="19">
        <v>2.4</v>
      </c>
      <c r="F13" s="19">
        <v>-1.1</v>
      </c>
      <c r="G13" s="24">
        <f>C13/C12-1</f>
        <v>-0.00263852242744063</v>
      </c>
      <c r="H13" s="24">
        <f>(E13+F13-C13)/C13</f>
        <v>-0.965608465608466</v>
      </c>
      <c r="I13" s="24">
        <f>AVERAGE(H10:H13)</f>
        <v>-0.935595455169757</v>
      </c>
      <c r="J13" s="24"/>
    </row>
    <row r="14" ht="20.05" customHeight="1">
      <c r="B14" s="32"/>
      <c r="C14" s="21">
        <v>42.4</v>
      </c>
      <c r="D14" s="33"/>
      <c r="E14" s="19">
        <v>-5.1</v>
      </c>
      <c r="F14" s="19">
        <v>-0.5</v>
      </c>
      <c r="G14" s="24">
        <f>C14/C13-1</f>
        <v>0.121693121693122</v>
      </c>
      <c r="H14" s="24">
        <f>(E14+F14-C14)/C14</f>
        <v>-1.13207547169811</v>
      </c>
      <c r="I14" s="24">
        <f>AVERAGE(H11:H14)</f>
        <v>-0.991974978831989</v>
      </c>
      <c r="J14" s="24"/>
    </row>
    <row r="15" ht="20.05" customHeight="1">
      <c r="B15" s="32"/>
      <c r="C15" s="21">
        <v>43.2</v>
      </c>
      <c r="D15" s="33"/>
      <c r="E15" s="19">
        <v>8.300000000000001</v>
      </c>
      <c r="F15" s="19">
        <v>1.9</v>
      </c>
      <c r="G15" s="24">
        <f>C15/C14-1</f>
        <v>0.0188679245283019</v>
      </c>
      <c r="H15" s="24">
        <f>(E15+F15-C15)/C15</f>
        <v>-0.763888888888889</v>
      </c>
      <c r="I15" s="24">
        <f>AVERAGE(H12:H15)</f>
        <v>-0.955498747445964</v>
      </c>
      <c r="J15" s="24"/>
    </row>
    <row r="16" ht="20.05" customHeight="1">
      <c r="B16" s="34">
        <v>2018</v>
      </c>
      <c r="C16" s="21">
        <v>44.4</v>
      </c>
      <c r="D16" s="33"/>
      <c r="E16" s="19">
        <v>1.4</v>
      </c>
      <c r="F16" s="19">
        <v>0.4</v>
      </c>
      <c r="G16" s="24">
        <f>C16/C15-1</f>
        <v>0.0277777777777778</v>
      </c>
      <c r="H16" s="24">
        <f>(E16+F16-C16)/C16</f>
        <v>-0.959459459459459</v>
      </c>
      <c r="I16" s="24">
        <f>AVERAGE(H13:H16)</f>
        <v>-0.955258071413731</v>
      </c>
      <c r="J16" s="24"/>
    </row>
    <row r="17" ht="20.05" customHeight="1">
      <c r="B17" s="32"/>
      <c r="C17" s="21">
        <v>34.7</v>
      </c>
      <c r="D17" s="33"/>
      <c r="E17" s="19">
        <v>1.4</v>
      </c>
      <c r="F17" s="19">
        <v>0.6</v>
      </c>
      <c r="G17" s="24">
        <f>C17/C16-1</f>
        <v>-0.218468468468468</v>
      </c>
      <c r="H17" s="24">
        <f>(E17+F17-C17)/C17</f>
        <v>-0.942363112391931</v>
      </c>
      <c r="I17" s="24">
        <f>AVERAGE(H14:H17)</f>
        <v>-0.949446733109597</v>
      </c>
      <c r="J17" s="24"/>
    </row>
    <row r="18" ht="20.05" customHeight="1">
      <c r="B18" s="32"/>
      <c r="C18" s="21">
        <v>43.5</v>
      </c>
      <c r="D18" s="33"/>
      <c r="E18" s="19">
        <v>1.4</v>
      </c>
      <c r="F18" s="19">
        <v>-1.5</v>
      </c>
      <c r="G18" s="24">
        <f>C18/C17-1</f>
        <v>0.253602305475504</v>
      </c>
      <c r="H18" s="24">
        <f>(E18+F18-C18)/C18</f>
        <v>-1.00229885057471</v>
      </c>
      <c r="I18" s="24">
        <f>AVERAGE(H15:H18)</f>
        <v>-0.9170025778287469</v>
      </c>
      <c r="J18" s="24"/>
    </row>
    <row r="19" ht="20.05" customHeight="1">
      <c r="B19" s="32"/>
      <c r="C19" s="21">
        <v>37.3</v>
      </c>
      <c r="D19" s="33"/>
      <c r="E19" s="19">
        <v>1.2</v>
      </c>
      <c r="F19" s="19">
        <v>1</v>
      </c>
      <c r="G19" s="24">
        <f>C19/C18-1</f>
        <v>-0.142528735632184</v>
      </c>
      <c r="H19" s="24">
        <f>(E19+F19-C19)/C19</f>
        <v>-0.941018766756032</v>
      </c>
      <c r="I19" s="24">
        <f>AVERAGE(H16:H19)</f>
        <v>-0.961285047295533</v>
      </c>
      <c r="J19" s="24"/>
    </row>
    <row r="20" ht="20.05" customHeight="1">
      <c r="B20" s="34">
        <v>2019</v>
      </c>
      <c r="C20" s="21">
        <v>33.1</v>
      </c>
      <c r="D20" s="33"/>
      <c r="E20" s="19">
        <v>1.4</v>
      </c>
      <c r="F20" s="19">
        <v>-1.3</v>
      </c>
      <c r="G20" s="24">
        <f>C20/C19-1</f>
        <v>-0.112600536193029</v>
      </c>
      <c r="H20" s="24">
        <f>(E20+F20-C20)/C20</f>
        <v>-0.996978851963746</v>
      </c>
      <c r="I20" s="24">
        <f>AVERAGE(H17:H20)</f>
        <v>-0.9706648954216049</v>
      </c>
      <c r="J20" s="24"/>
    </row>
    <row r="21" ht="20.05" customHeight="1">
      <c r="B21" s="32"/>
      <c r="C21" s="21">
        <v>32</v>
      </c>
      <c r="D21" s="33"/>
      <c r="E21" s="19">
        <v>1.4</v>
      </c>
      <c r="F21" s="19">
        <v>-1.1</v>
      </c>
      <c r="G21" s="24">
        <f>C21/C20-1</f>
        <v>-0.0332326283987915</v>
      </c>
      <c r="H21" s="24">
        <f>(E21+F21-C21)/C21</f>
        <v>-0.990625</v>
      </c>
      <c r="I21" s="24">
        <f>AVERAGE(H18:H21)</f>
        <v>-0.982730367323622</v>
      </c>
      <c r="J21" s="24"/>
    </row>
    <row r="22" ht="20.05" customHeight="1">
      <c r="B22" s="32"/>
      <c r="C22" s="21">
        <v>38.1</v>
      </c>
      <c r="D22" s="33"/>
      <c r="E22" s="19">
        <v>2</v>
      </c>
      <c r="F22" s="19">
        <v>0.2</v>
      </c>
      <c r="G22" s="24">
        <f>C22/C21-1</f>
        <v>0.190625</v>
      </c>
      <c r="H22" s="24">
        <f>(E22+F22-C22)/C22</f>
        <v>-0.9422572178477689</v>
      </c>
      <c r="I22" s="24">
        <f>AVERAGE(H19:H22)</f>
        <v>-0.967719959141887</v>
      </c>
      <c r="J22" s="24"/>
    </row>
    <row r="23" ht="20.05" customHeight="1">
      <c r="B23" s="32"/>
      <c r="C23" s="21">
        <v>36.1</v>
      </c>
      <c r="D23" s="33"/>
      <c r="E23" s="19">
        <v>1</v>
      </c>
      <c r="F23" s="19">
        <v>1</v>
      </c>
      <c r="G23" s="24">
        <f>C23/C22-1</f>
        <v>-0.05249343832021</v>
      </c>
      <c r="H23" s="24">
        <f>(E23+F23-C23)/C23</f>
        <v>-0.944598337950139</v>
      </c>
      <c r="I23" s="24">
        <f>AVERAGE(H20:H23)</f>
        <v>-0.968614851940414</v>
      </c>
      <c r="J23" s="24"/>
    </row>
    <row r="24" ht="20.05" customHeight="1">
      <c r="B24" s="34">
        <v>2020</v>
      </c>
      <c r="C24" s="21">
        <v>33.7</v>
      </c>
      <c r="D24" s="33"/>
      <c r="E24" s="19">
        <v>1.9</v>
      </c>
      <c r="F24" s="19">
        <v>3.4</v>
      </c>
      <c r="G24" s="24">
        <f>C24/C23-1</f>
        <v>-0.0664819944598338</v>
      </c>
      <c r="H24" s="24">
        <f>(E24+F24-C24)/C24</f>
        <v>-0.842729970326409</v>
      </c>
      <c r="I24" s="24">
        <f>AVERAGE(H21:H24)</f>
        <v>-0.930052631531079</v>
      </c>
      <c r="J24" s="24"/>
    </row>
    <row r="25" ht="20.05" customHeight="1">
      <c r="B25" s="32"/>
      <c r="C25" s="21">
        <v>12.9</v>
      </c>
      <c r="D25" s="33"/>
      <c r="E25" s="19">
        <v>1.8</v>
      </c>
      <c r="F25" s="19">
        <v>-8.1</v>
      </c>
      <c r="G25" s="24">
        <f>C25/C24-1</f>
        <v>-0.617210682492582</v>
      </c>
      <c r="H25" s="24"/>
      <c r="I25" s="24">
        <f>AVERAGE(H22:H25)</f>
        <v>-0.9098618420414391</v>
      </c>
      <c r="J25" s="24"/>
    </row>
    <row r="26" ht="20.05" customHeight="1">
      <c r="B26" s="32"/>
      <c r="C26" s="21">
        <v>28.3</v>
      </c>
      <c r="D26" s="33"/>
      <c r="E26" s="19">
        <v>1.8</v>
      </c>
      <c r="F26" s="19">
        <v>0.4</v>
      </c>
      <c r="G26" s="24">
        <f>C26/C25-1</f>
        <v>1.1937984496124</v>
      </c>
      <c r="H26" s="24">
        <f>(E26+F26-C26)/C26</f>
        <v>-0.92226148409894</v>
      </c>
      <c r="I26" s="24">
        <f>AVERAGE(H23:H26)</f>
        <v>-0.903196597458496</v>
      </c>
      <c r="J26" s="24"/>
    </row>
    <row r="27" ht="20.05" customHeight="1">
      <c r="B27" s="32"/>
      <c r="C27" s="21">
        <v>33.4</v>
      </c>
      <c r="D27" s="33"/>
      <c r="E27" s="19">
        <v>1.3</v>
      </c>
      <c r="F27" s="19">
        <v>-2.8</v>
      </c>
      <c r="G27" s="24">
        <f>C27/C26-1</f>
        <v>0.180212014134276</v>
      </c>
      <c r="H27" s="24">
        <f>(E27+F27-C27)/C27</f>
        <v>-1.04491017964072</v>
      </c>
      <c r="I27" s="24">
        <f>AVERAGE(H24:H27)</f>
        <v>-0.936633878022023</v>
      </c>
      <c r="J27" s="24"/>
    </row>
    <row r="28" ht="20.05" customHeight="1">
      <c r="B28" s="34">
        <v>2021</v>
      </c>
      <c r="C28" s="21">
        <f>39.7</f>
        <v>39.7</v>
      </c>
      <c r="D28" s="22">
        <v>33.734</v>
      </c>
      <c r="E28" s="35">
        <f>1.6+0.1</f>
        <v>1.7</v>
      </c>
      <c r="F28" s="19">
        <f>2.2</f>
        <v>2.2</v>
      </c>
      <c r="G28" s="24">
        <f>C28/C27-1</f>
        <v>0.188622754491018</v>
      </c>
      <c r="H28" s="24">
        <f>(E28+F28-C28)/C28</f>
        <v>-0.90176322418136</v>
      </c>
      <c r="I28" s="24">
        <f>AVERAGE(H25:H28)</f>
        <v>-0.956311629307007</v>
      </c>
      <c r="J28" s="24"/>
    </row>
    <row r="29" ht="20.05" customHeight="1">
      <c r="B29" s="32"/>
      <c r="C29" s="21">
        <f>76.8-C28</f>
        <v>37.1</v>
      </c>
      <c r="D29" s="22">
        <v>38.509</v>
      </c>
      <c r="E29" s="35">
        <f>0.8+3.1-E28</f>
        <v>2.2</v>
      </c>
      <c r="F29" s="19">
        <f>3.5-F28</f>
        <v>1.3</v>
      </c>
      <c r="G29" s="24">
        <f>C29/C28-1</f>
        <v>-0.0654911838790932</v>
      </c>
      <c r="H29" s="24">
        <f>(E29+F29-C29)/C29</f>
        <v>-0.905660377358491</v>
      </c>
      <c r="I29" s="24">
        <f>AVERAGE(H26:H29)</f>
        <v>-0.943648816319878</v>
      </c>
      <c r="J29" s="24"/>
    </row>
    <row r="30" ht="20.05" customHeight="1">
      <c r="B30" s="32"/>
      <c r="C30" s="21">
        <f>113.4-SUM(C28:C29)</f>
        <v>36.6</v>
      </c>
      <c r="D30" s="22">
        <v>41.552</v>
      </c>
      <c r="E30" s="19">
        <f>4.7+0.4-SUM(E28:E29)</f>
        <v>1.2</v>
      </c>
      <c r="F30" s="19">
        <f>2.8-SUM(F28:F29)</f>
        <v>-0.7</v>
      </c>
      <c r="G30" s="24">
        <f>C30/C29-1</f>
        <v>-0.0134770889487871</v>
      </c>
      <c r="H30" s="24">
        <f>(E30+F30-C30)/C30</f>
        <v>-0.986338797814208</v>
      </c>
      <c r="I30" s="24">
        <f>AVERAGE(H27:H30)</f>
        <v>-0.959668144748695</v>
      </c>
      <c r="J30" s="24"/>
    </row>
    <row r="31" ht="20.05" customHeight="1">
      <c r="B31" s="32"/>
      <c r="C31" s="21">
        <f>150.2-SUM(C28:C30)</f>
        <v>36.8</v>
      </c>
      <c r="D31" s="22">
        <v>39.162</v>
      </c>
      <c r="E31" s="35">
        <f>6.5+0.3-SUM(E28:E30)</f>
        <v>1.7</v>
      </c>
      <c r="F31" s="19">
        <f>2.4-SUM(F28:F30)</f>
        <v>-0.4</v>
      </c>
      <c r="G31" s="24">
        <f>C31/C30-1</f>
        <v>0.00546448087431694</v>
      </c>
      <c r="H31" s="24">
        <f>(E31+F31-C31)/C31</f>
        <v>-0.964673913043478</v>
      </c>
      <c r="I31" s="24">
        <f>AVERAGE(H28:H31)</f>
        <v>-0.939609078099384</v>
      </c>
      <c r="J31" s="24"/>
    </row>
    <row r="32" ht="20.05" customHeight="1">
      <c r="B32" s="34">
        <v>2022</v>
      </c>
      <c r="C32" s="18">
        <v>41.9</v>
      </c>
      <c r="D32" s="22">
        <v>37.536</v>
      </c>
      <c r="E32" s="19">
        <f>1.7+0.1</f>
        <v>1.8</v>
      </c>
      <c r="F32" s="19">
        <v>-1.3</v>
      </c>
      <c r="G32" s="24">
        <f>C32/C31-1</f>
        <v>0.138586956521739</v>
      </c>
      <c r="H32" s="24">
        <f>(E32+F32-C32)/C32</f>
        <v>-0.988066825775656</v>
      </c>
      <c r="I32" s="24">
        <f>AVERAGE(H29:H32)</f>
        <v>-0.961184978497958</v>
      </c>
      <c r="J32" s="24">
        <v>-0.939609078099384</v>
      </c>
    </row>
    <row r="33" ht="20.05" customHeight="1">
      <c r="B33" s="32"/>
      <c r="C33" s="36"/>
      <c r="D33" s="22">
        <f>'Model'!C6</f>
        <v>43.995</v>
      </c>
      <c r="E33" s="22"/>
      <c r="F33" s="19"/>
      <c r="G33" s="11"/>
      <c r="H33" s="33"/>
      <c r="I33" s="24"/>
      <c r="J33" s="11">
        <f>'Model'!C7</f>
        <v>-0.939609078099384</v>
      </c>
    </row>
    <row r="34" ht="20.05" customHeight="1">
      <c r="B34" s="32"/>
      <c r="C34" s="36"/>
      <c r="D34" s="22">
        <f>'Model'!D6</f>
        <v>46.19475</v>
      </c>
      <c r="E34" s="33"/>
      <c r="F34" s="22"/>
      <c r="G34" s="11"/>
      <c r="H34" s="11"/>
      <c r="I34" s="24"/>
      <c r="J34" s="24"/>
    </row>
    <row r="35" ht="20.05" customHeight="1">
      <c r="B35" s="32"/>
      <c r="C35" s="36"/>
      <c r="D35" s="22">
        <f>'Model'!E6</f>
        <v>47.5805925</v>
      </c>
      <c r="E35" s="19">
        <f>SUM(C28:C32)</f>
        <v>192.1</v>
      </c>
      <c r="F35" s="22">
        <f>SUM(D28:D32)</f>
        <v>190.493</v>
      </c>
      <c r="G35" s="11"/>
      <c r="H35" s="11"/>
      <c r="I35" s="24"/>
      <c r="J35" s="24"/>
    </row>
    <row r="36" ht="20.05" customHeight="1">
      <c r="B36" s="34">
        <v>2023</v>
      </c>
      <c r="C36" s="36"/>
      <c r="D36" s="22">
        <f>'Model'!F6</f>
        <v>47.104786575</v>
      </c>
      <c r="E36" s="33"/>
      <c r="F36" s="22"/>
      <c r="G36" s="11"/>
      <c r="H36" s="11"/>
      <c r="I36" s="24"/>
      <c r="J36" s="24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2812" style="37" customWidth="1"/>
    <col min="2" max="2" width="7.47656" style="37" customWidth="1"/>
    <col min="3" max="16" width="9.42969" style="37" customWidth="1"/>
    <col min="17" max="16384" width="16.3516" style="37" customWidth="1"/>
  </cols>
  <sheetData>
    <row r="1" ht="44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48</v>
      </c>
      <c r="G3" t="s" s="5">
        <v>49</v>
      </c>
      <c r="H3" t="s" s="5">
        <v>50</v>
      </c>
      <c r="I3" t="s" s="5">
        <v>51</v>
      </c>
      <c r="J3" t="s" s="5">
        <v>10</v>
      </c>
      <c r="K3" t="s" s="5">
        <v>52</v>
      </c>
      <c r="L3" t="s" s="5">
        <v>3</v>
      </c>
      <c r="M3" t="s" s="5">
        <v>35</v>
      </c>
      <c r="N3" t="s" s="5">
        <v>30</v>
      </c>
      <c r="O3" t="s" s="5">
        <v>35</v>
      </c>
      <c r="P3" s="38"/>
    </row>
    <row r="4" ht="20.25" customHeight="1">
      <c r="B4" s="26">
        <v>2015</v>
      </c>
      <c r="C4" s="39">
        <v>39.5</v>
      </c>
      <c r="D4" s="29">
        <v>1.9</v>
      </c>
      <c r="E4" s="29">
        <v>-2.5</v>
      </c>
      <c r="F4" s="29"/>
      <c r="G4" s="29"/>
      <c r="H4" s="29"/>
      <c r="I4" s="29"/>
      <c r="J4" s="29">
        <v>-0.003</v>
      </c>
      <c r="K4" s="29">
        <f>D4+E4</f>
        <v>-0.6</v>
      </c>
      <c r="L4" s="40"/>
      <c r="M4" s="29"/>
      <c r="N4" s="29">
        <f>-J4</f>
        <v>0.003</v>
      </c>
      <c r="O4" s="29"/>
      <c r="P4" s="29">
        <v>1</v>
      </c>
    </row>
    <row r="5" ht="20.05" customHeight="1">
      <c r="B5" s="32"/>
      <c r="C5" s="18">
        <v>38.6</v>
      </c>
      <c r="D5" s="19">
        <v>-2.6</v>
      </c>
      <c r="E5" s="19">
        <v>-1.8</v>
      </c>
      <c r="F5" s="19"/>
      <c r="G5" s="19"/>
      <c r="H5" s="19"/>
      <c r="I5" s="19"/>
      <c r="J5" s="19">
        <v>5.103</v>
      </c>
      <c r="K5" s="19">
        <f>D5+E5</f>
        <v>-4.4</v>
      </c>
      <c r="L5" s="22"/>
      <c r="M5" s="19"/>
      <c r="N5" s="19">
        <f>-J5+N4</f>
        <v>-5.1</v>
      </c>
      <c r="O5" s="19"/>
      <c r="P5" s="19">
        <f>1+P4</f>
        <v>2</v>
      </c>
    </row>
    <row r="6" ht="20.05" customHeight="1">
      <c r="B6" s="32"/>
      <c r="C6" s="18">
        <v>36.3</v>
      </c>
      <c r="D6" s="19">
        <v>4.6</v>
      </c>
      <c r="E6" s="19">
        <v>-0.8</v>
      </c>
      <c r="F6" s="19"/>
      <c r="G6" s="19"/>
      <c r="H6" s="19"/>
      <c r="I6" s="19"/>
      <c r="J6" s="19">
        <v>-4.1</v>
      </c>
      <c r="K6" s="19">
        <f>D6+E6</f>
        <v>3.8</v>
      </c>
      <c r="L6" s="22"/>
      <c r="M6" s="19"/>
      <c r="N6" s="19">
        <f>-J6+N5</f>
        <v>-1</v>
      </c>
      <c r="O6" s="19"/>
      <c r="P6" s="19">
        <f>1+P5</f>
        <v>3</v>
      </c>
    </row>
    <row r="7" ht="20.05" customHeight="1">
      <c r="B7" s="32"/>
      <c r="C7" s="18">
        <v>38.5</v>
      </c>
      <c r="D7" s="19">
        <v>8.199999999999999</v>
      </c>
      <c r="E7" s="19">
        <v>-4.6</v>
      </c>
      <c r="F7" s="19"/>
      <c r="G7" s="19"/>
      <c r="H7" s="19"/>
      <c r="I7" s="19"/>
      <c r="J7" s="19">
        <v>-2.9</v>
      </c>
      <c r="K7" s="19">
        <f>D7+E7</f>
        <v>3.6</v>
      </c>
      <c r="L7" s="22"/>
      <c r="M7" s="19"/>
      <c r="N7" s="19">
        <f>-J7+N6</f>
        <v>1.9</v>
      </c>
      <c r="O7" s="19"/>
      <c r="P7" s="19">
        <f>1+P6</f>
        <v>4</v>
      </c>
    </row>
    <row r="8" ht="20.05" customHeight="1">
      <c r="B8" s="34">
        <v>2016</v>
      </c>
      <c r="C8" s="18">
        <v>37.6</v>
      </c>
      <c r="D8" s="19">
        <v>3.1</v>
      </c>
      <c r="E8" s="19">
        <v>-1.1</v>
      </c>
      <c r="F8" s="19"/>
      <c r="G8" s="19"/>
      <c r="H8" s="19"/>
      <c r="I8" s="19"/>
      <c r="J8" s="19">
        <v>-0.2</v>
      </c>
      <c r="K8" s="19">
        <f>D8+E8</f>
        <v>2</v>
      </c>
      <c r="L8" s="19">
        <f>AVERAGE(K5:K8)</f>
        <v>1.25</v>
      </c>
      <c r="M8" s="19"/>
      <c r="N8" s="19">
        <f>-J8+N7</f>
        <v>2.1</v>
      </c>
      <c r="O8" s="19"/>
      <c r="P8" s="19">
        <f>1+P7</f>
        <v>5</v>
      </c>
    </row>
    <row r="9" ht="20.05" customHeight="1">
      <c r="B9" s="32"/>
      <c r="C9" s="18">
        <v>38.7</v>
      </c>
      <c r="D9" s="19">
        <v>-2.3</v>
      </c>
      <c r="E9" s="19">
        <v>-2.3</v>
      </c>
      <c r="F9" s="19"/>
      <c r="G9" s="19"/>
      <c r="H9" s="19"/>
      <c r="I9" s="19"/>
      <c r="J9" s="19">
        <v>1.3</v>
      </c>
      <c r="K9" s="19">
        <f>D9+E9</f>
        <v>-4.6</v>
      </c>
      <c r="L9" s="19">
        <f>AVERAGE(K6:K9)</f>
        <v>1.2</v>
      </c>
      <c r="M9" s="19"/>
      <c r="N9" s="19">
        <f>-J9+N8</f>
        <v>0.8</v>
      </c>
      <c r="O9" s="19"/>
      <c r="P9" s="19">
        <f>1+P8</f>
        <v>6</v>
      </c>
    </row>
    <row r="10" ht="20.05" customHeight="1">
      <c r="B10" s="32"/>
      <c r="C10" s="18">
        <v>43.7</v>
      </c>
      <c r="D10" s="19">
        <v>8.1</v>
      </c>
      <c r="E10" s="19">
        <v>-1.7</v>
      </c>
      <c r="F10" s="19"/>
      <c r="G10" s="19"/>
      <c r="H10" s="19"/>
      <c r="I10" s="19"/>
      <c r="J10" s="19">
        <v>-1.7</v>
      </c>
      <c r="K10" s="19">
        <f>D10+E10</f>
        <v>6.4</v>
      </c>
      <c r="L10" s="19">
        <f>AVERAGE(K7:K10)</f>
        <v>1.85</v>
      </c>
      <c r="M10" s="19"/>
      <c r="N10" s="19">
        <f>-J10+N9</f>
        <v>2.5</v>
      </c>
      <c r="O10" s="19"/>
      <c r="P10" s="19">
        <f>1+P9</f>
        <v>7</v>
      </c>
    </row>
    <row r="11" ht="20.05" customHeight="1">
      <c r="B11" s="32"/>
      <c r="C11" s="18">
        <v>32</v>
      </c>
      <c r="D11" s="19">
        <v>-2.7</v>
      </c>
      <c r="E11" s="19">
        <v>-3.4</v>
      </c>
      <c r="F11" s="19"/>
      <c r="G11" s="19"/>
      <c r="H11" s="19"/>
      <c r="I11" s="19"/>
      <c r="J11" s="19">
        <v>5.1</v>
      </c>
      <c r="K11" s="19">
        <f>D11+E11</f>
        <v>-6.1</v>
      </c>
      <c r="L11" s="19">
        <f>AVERAGE(K8:K11)</f>
        <v>-0.575</v>
      </c>
      <c r="M11" s="19"/>
      <c r="N11" s="19">
        <f>-J11+N10</f>
        <v>-2.6</v>
      </c>
      <c r="O11" s="19"/>
      <c r="P11" s="19">
        <f>1+P10</f>
        <v>8</v>
      </c>
    </row>
    <row r="12" ht="20.05" customHeight="1">
      <c r="B12" s="34">
        <v>2017</v>
      </c>
      <c r="C12" s="18">
        <v>41.6</v>
      </c>
      <c r="D12" s="19">
        <v>6.5</v>
      </c>
      <c r="E12" s="19">
        <v>-1.2</v>
      </c>
      <c r="F12" s="19"/>
      <c r="G12" s="19"/>
      <c r="H12" s="19"/>
      <c r="I12" s="19"/>
      <c r="J12" s="19">
        <v>-1.8</v>
      </c>
      <c r="K12" s="19">
        <f>D12+E12</f>
        <v>5.3</v>
      </c>
      <c r="L12" s="19">
        <f>AVERAGE(K9:K12)</f>
        <v>0.25</v>
      </c>
      <c r="M12" s="19"/>
      <c r="N12" s="19">
        <f>-J12+N11</f>
        <v>-0.8</v>
      </c>
      <c r="O12" s="19"/>
      <c r="P12" s="19">
        <f>1+P11</f>
        <v>9</v>
      </c>
    </row>
    <row r="13" ht="20.05" customHeight="1">
      <c r="B13" s="32"/>
      <c r="C13" s="18">
        <v>35.9</v>
      </c>
      <c r="D13" s="19">
        <v>-1.4</v>
      </c>
      <c r="E13" s="19">
        <v>-2.9</v>
      </c>
      <c r="F13" s="19"/>
      <c r="G13" s="19"/>
      <c r="H13" s="19"/>
      <c r="I13" s="19"/>
      <c r="J13" s="19">
        <v>3.6</v>
      </c>
      <c r="K13" s="19">
        <f>D13+E13</f>
        <v>-4.3</v>
      </c>
      <c r="L13" s="19">
        <f>AVERAGE(K10:K13)</f>
        <v>0.325</v>
      </c>
      <c r="M13" s="19"/>
      <c r="N13" s="19">
        <f>-J13+N12</f>
        <v>-4.4</v>
      </c>
      <c r="O13" s="19"/>
      <c r="P13" s="19">
        <f>1+P12</f>
        <v>10</v>
      </c>
    </row>
    <row r="14" ht="20.05" customHeight="1">
      <c r="B14" s="32"/>
      <c r="C14" s="18">
        <v>45.2</v>
      </c>
      <c r="D14" s="19">
        <v>4</v>
      </c>
      <c r="E14" s="19">
        <v>-2.8</v>
      </c>
      <c r="F14" s="19"/>
      <c r="G14" s="19"/>
      <c r="H14" s="19"/>
      <c r="I14" s="19"/>
      <c r="J14" s="19">
        <v>1.2</v>
      </c>
      <c r="K14" s="19">
        <f>D14+E14</f>
        <v>1.2</v>
      </c>
      <c r="L14" s="19">
        <f>AVERAGE(K11:K14)</f>
        <v>-0.975</v>
      </c>
      <c r="M14" s="19"/>
      <c r="N14" s="19">
        <f>-J14+N13</f>
        <v>-5.6</v>
      </c>
      <c r="O14" s="19"/>
      <c r="P14" s="19">
        <f>1+P13</f>
        <v>11</v>
      </c>
    </row>
    <row r="15" ht="20.05" customHeight="1">
      <c r="B15" s="32"/>
      <c r="C15" s="18">
        <v>47.1</v>
      </c>
      <c r="D15" s="19">
        <v>7.4</v>
      </c>
      <c r="E15" s="19">
        <v>-1.9</v>
      </c>
      <c r="F15" s="19"/>
      <c r="G15" s="19"/>
      <c r="H15" s="19"/>
      <c r="I15" s="19"/>
      <c r="J15" s="19">
        <v>-4.2</v>
      </c>
      <c r="K15" s="19">
        <f>D15+E15</f>
        <v>5.5</v>
      </c>
      <c r="L15" s="19">
        <f>AVERAGE(K12:K15)</f>
        <v>1.925</v>
      </c>
      <c r="M15" s="19"/>
      <c r="N15" s="19">
        <f>-J15+N14</f>
        <v>-1.4</v>
      </c>
      <c r="O15" s="19"/>
      <c r="P15" s="19">
        <f>1+P14</f>
        <v>12</v>
      </c>
    </row>
    <row r="16" ht="20.05" customHeight="1">
      <c r="B16" s="34">
        <v>2018</v>
      </c>
      <c r="C16" s="18">
        <v>45.2</v>
      </c>
      <c r="D16" s="19">
        <v>7.7</v>
      </c>
      <c r="E16" s="19">
        <v>-2.2</v>
      </c>
      <c r="F16" s="19"/>
      <c r="G16" s="19"/>
      <c r="H16" s="19"/>
      <c r="I16" s="19"/>
      <c r="J16" s="19">
        <v>-0.9</v>
      </c>
      <c r="K16" s="19">
        <f>D16+E16</f>
        <v>5.5</v>
      </c>
      <c r="L16" s="19">
        <f>AVERAGE(K13:K16)</f>
        <v>1.975</v>
      </c>
      <c r="M16" s="19"/>
      <c r="N16" s="19">
        <f>-J16+N15</f>
        <v>-0.5</v>
      </c>
      <c r="O16" s="19"/>
      <c r="P16" s="19">
        <f>1+P15</f>
        <v>13</v>
      </c>
    </row>
    <row r="17" ht="20.05" customHeight="1">
      <c r="B17" s="32"/>
      <c r="C17" s="18">
        <v>34.1</v>
      </c>
      <c r="D17" s="19">
        <v>-5.8</v>
      </c>
      <c r="E17" s="19">
        <v>-2.7</v>
      </c>
      <c r="F17" s="19"/>
      <c r="G17" s="19"/>
      <c r="H17" s="19"/>
      <c r="I17" s="19"/>
      <c r="J17" s="19">
        <v>8.800000000000001</v>
      </c>
      <c r="K17" s="19">
        <f>D17+E17</f>
        <v>-8.5</v>
      </c>
      <c r="L17" s="19">
        <f>AVERAGE(K14:K17)</f>
        <v>0.925</v>
      </c>
      <c r="M17" s="19"/>
      <c r="N17" s="19">
        <f>-J17+N16</f>
        <v>-9.300000000000001</v>
      </c>
      <c r="O17" s="19"/>
      <c r="P17" s="19">
        <f>1+P16</f>
        <v>14</v>
      </c>
    </row>
    <row r="18" ht="20.05" customHeight="1">
      <c r="B18" s="32"/>
      <c r="C18" s="18">
        <v>43.8</v>
      </c>
      <c r="D18" s="19">
        <v>-4.4</v>
      </c>
      <c r="E18" s="19">
        <v>-1.7</v>
      </c>
      <c r="F18" s="19"/>
      <c r="G18" s="19"/>
      <c r="H18" s="19"/>
      <c r="I18" s="19"/>
      <c r="J18" s="19">
        <v>-0.7</v>
      </c>
      <c r="K18" s="19">
        <f>D18+E18</f>
        <v>-6.1</v>
      </c>
      <c r="L18" s="19">
        <f>AVERAGE(K15:K18)</f>
        <v>-0.9</v>
      </c>
      <c r="M18" s="19"/>
      <c r="N18" s="19">
        <f>-J18+N17</f>
        <v>-8.6</v>
      </c>
      <c r="O18" s="19"/>
      <c r="P18" s="19">
        <f>1+P17</f>
        <v>15</v>
      </c>
    </row>
    <row r="19" ht="20.05" customHeight="1">
      <c r="B19" s="32"/>
      <c r="C19" s="18">
        <v>36</v>
      </c>
      <c r="D19" s="19">
        <v>-0.1</v>
      </c>
      <c r="E19" s="19">
        <v>-3.5</v>
      </c>
      <c r="F19" s="19"/>
      <c r="G19" s="19"/>
      <c r="H19" s="19"/>
      <c r="I19" s="19"/>
      <c r="J19" s="19">
        <v>-13.6</v>
      </c>
      <c r="K19" s="19">
        <f>D19+E19</f>
        <v>-3.6</v>
      </c>
      <c r="L19" s="19">
        <f>AVERAGE(K16:K19)</f>
        <v>-3.175</v>
      </c>
      <c r="M19" s="19"/>
      <c r="N19" s="19">
        <f>-J19+N18</f>
        <v>5</v>
      </c>
      <c r="O19" s="19"/>
      <c r="P19" s="19">
        <f>1+P18</f>
        <v>16</v>
      </c>
    </row>
    <row r="20" ht="20.05" customHeight="1">
      <c r="B20" s="34">
        <v>2019</v>
      </c>
      <c r="C20" s="18">
        <v>33.2</v>
      </c>
      <c r="D20" s="19">
        <v>-0.5</v>
      </c>
      <c r="E20" s="19">
        <v>-2.4</v>
      </c>
      <c r="F20" s="19"/>
      <c r="G20" s="19"/>
      <c r="H20" s="19"/>
      <c r="I20" s="19"/>
      <c r="J20" s="19">
        <v>0.3</v>
      </c>
      <c r="K20" s="19">
        <f>D20+E20</f>
        <v>-2.9</v>
      </c>
      <c r="L20" s="19">
        <f>AVERAGE(K17:K20)</f>
        <v>-5.275</v>
      </c>
      <c r="M20" s="19"/>
      <c r="N20" s="19">
        <f>-J20+N19</f>
        <v>4.7</v>
      </c>
      <c r="O20" s="19"/>
      <c r="P20" s="19">
        <f>1+P19</f>
        <v>17</v>
      </c>
    </row>
    <row r="21" ht="20.05" customHeight="1">
      <c r="B21" s="32"/>
      <c r="C21" s="18">
        <v>26</v>
      </c>
      <c r="D21" s="19">
        <v>-4.9</v>
      </c>
      <c r="E21" s="19">
        <v>-3</v>
      </c>
      <c r="F21" s="19"/>
      <c r="G21" s="19"/>
      <c r="H21" s="19"/>
      <c r="I21" s="19"/>
      <c r="J21" s="19">
        <v>4.9</v>
      </c>
      <c r="K21" s="19">
        <f>D21+E21</f>
        <v>-7.9</v>
      </c>
      <c r="L21" s="19">
        <f>AVERAGE(K18:K21)</f>
        <v>-5.125</v>
      </c>
      <c r="M21" s="19"/>
      <c r="N21" s="19">
        <f>-J21+N20</f>
        <v>-0.2</v>
      </c>
      <c r="O21" s="19"/>
      <c r="P21" s="19">
        <f>1+P20</f>
        <v>18</v>
      </c>
    </row>
    <row r="22" ht="20.05" customHeight="1">
      <c r="B22" s="32"/>
      <c r="C22" s="18">
        <v>39.1</v>
      </c>
      <c r="D22" s="19">
        <v>4.2</v>
      </c>
      <c r="E22" s="19">
        <v>-2.1</v>
      </c>
      <c r="F22" s="19"/>
      <c r="G22" s="19"/>
      <c r="H22" s="19"/>
      <c r="I22" s="19"/>
      <c r="J22" s="19">
        <v>0.1</v>
      </c>
      <c r="K22" s="19">
        <f>D22+E22</f>
        <v>2.1</v>
      </c>
      <c r="L22" s="19">
        <f>AVERAGE(K19:K22)</f>
        <v>-3.075</v>
      </c>
      <c r="M22" s="19"/>
      <c r="N22" s="19">
        <f>-J22+N21</f>
        <v>-0.3</v>
      </c>
      <c r="O22" s="19"/>
      <c r="P22" s="19">
        <f>1+P21</f>
        <v>19</v>
      </c>
    </row>
    <row r="23" ht="20.05" customHeight="1">
      <c r="B23" s="32"/>
      <c r="C23" s="18">
        <v>40</v>
      </c>
      <c r="D23" s="19">
        <v>-1.1</v>
      </c>
      <c r="E23" s="19">
        <v>-0.6</v>
      </c>
      <c r="F23" s="19"/>
      <c r="G23" s="19"/>
      <c r="H23" s="19"/>
      <c r="I23" s="19"/>
      <c r="J23" s="19">
        <v>1</v>
      </c>
      <c r="K23" s="19">
        <f>D23+E23</f>
        <v>-1.7</v>
      </c>
      <c r="L23" s="19">
        <f>AVERAGE(K20:K23)</f>
        <v>-2.6</v>
      </c>
      <c r="M23" s="19"/>
      <c r="N23" s="19">
        <f>-J23+N22</f>
        <v>-1.3</v>
      </c>
      <c r="O23" s="19"/>
      <c r="P23" s="19">
        <f>1+P22</f>
        <v>20</v>
      </c>
    </row>
    <row r="24" ht="20.05" customHeight="1">
      <c r="B24" s="34">
        <v>2020</v>
      </c>
      <c r="C24" s="18">
        <v>32.2</v>
      </c>
      <c r="D24" s="19">
        <v>0.9</v>
      </c>
      <c r="E24" s="19">
        <v>-2.1</v>
      </c>
      <c r="F24" s="19">
        <v>-0.5</v>
      </c>
      <c r="G24" s="19">
        <v>-0.1</v>
      </c>
      <c r="H24" s="19">
        <f>J24-I24-F24-G24</f>
        <v>9.5</v>
      </c>
      <c r="I24" s="19">
        <v>0</v>
      </c>
      <c r="J24" s="19">
        <v>8.9</v>
      </c>
      <c r="K24" s="19">
        <f>D24+E24</f>
        <v>-1.2</v>
      </c>
      <c r="L24" s="19">
        <f>AVERAGE(K21:K24)</f>
        <v>-2.175</v>
      </c>
      <c r="M24" s="19"/>
      <c r="N24" s="19">
        <f>-J24+N23</f>
        <v>-10.2</v>
      </c>
      <c r="O24" s="19"/>
      <c r="P24" s="19">
        <f>1+P23</f>
        <v>21</v>
      </c>
    </row>
    <row r="25" ht="20.05" customHeight="1">
      <c r="B25" s="32"/>
      <c r="C25" s="18">
        <v>19.1</v>
      </c>
      <c r="D25" s="19">
        <v>-5</v>
      </c>
      <c r="E25" s="19">
        <v>-0.4</v>
      </c>
      <c r="F25" s="19">
        <f>-1.1-F24</f>
        <v>-0.6</v>
      </c>
      <c r="G25" s="19">
        <f>-0.2-G24</f>
        <v>-0.1</v>
      </c>
      <c r="H25" s="19">
        <f>J25-I25-F25-G25</f>
        <v>-1.1</v>
      </c>
      <c r="I25" s="19">
        <v>0</v>
      </c>
      <c r="J25" s="19">
        <v>-1.8</v>
      </c>
      <c r="K25" s="19">
        <f>D25+E25</f>
        <v>-5.4</v>
      </c>
      <c r="L25" s="19">
        <f>AVERAGE(K22:K25)</f>
        <v>-1.55</v>
      </c>
      <c r="M25" s="19"/>
      <c r="N25" s="19">
        <f>-J25+N24</f>
        <v>-8.4</v>
      </c>
      <c r="O25" s="19"/>
      <c r="P25" s="19">
        <f>1+P24</f>
        <v>22</v>
      </c>
    </row>
    <row r="26" ht="20.05" customHeight="1">
      <c r="B26" s="32"/>
      <c r="C26" s="18">
        <v>26.7</v>
      </c>
      <c r="D26" s="19">
        <v>7.4</v>
      </c>
      <c r="E26" s="19">
        <v>-1.1</v>
      </c>
      <c r="F26" s="19">
        <f>-1.8-SUM(F24:F25)</f>
        <v>-0.7</v>
      </c>
      <c r="G26" s="19">
        <f>-0.3-SUM(G24:G25)</f>
        <v>-0.1</v>
      </c>
      <c r="H26" s="19">
        <f>J26-I26-F26-G26</f>
        <v>0.8</v>
      </c>
      <c r="I26" s="19">
        <v>0</v>
      </c>
      <c r="J26" s="19">
        <v>0</v>
      </c>
      <c r="K26" s="19">
        <f>D26+E26</f>
        <v>6.3</v>
      </c>
      <c r="L26" s="19">
        <f>AVERAGE(K23:K26)</f>
        <v>-0.5</v>
      </c>
      <c r="M26" s="19"/>
      <c r="N26" s="19">
        <f>-J26+N25</f>
        <v>-8.4</v>
      </c>
      <c r="O26" s="19"/>
      <c r="P26" s="19">
        <f>1+P25</f>
        <v>23</v>
      </c>
    </row>
    <row r="27" ht="20.05" customHeight="1">
      <c r="B27" s="32"/>
      <c r="C27" s="18">
        <v>32.2</v>
      </c>
      <c r="D27" s="19">
        <v>7.1</v>
      </c>
      <c r="E27" s="19">
        <v>-1.1</v>
      </c>
      <c r="F27" s="19">
        <f>-2.2-SUM(F24:F26)</f>
        <v>-0.4</v>
      </c>
      <c r="G27" s="19">
        <f>-0.6-SUM(G24:G26)</f>
        <v>-0.3</v>
      </c>
      <c r="H27" s="19">
        <f>J27-I27-F27-G27</f>
        <v>-5.7</v>
      </c>
      <c r="I27" s="19">
        <v>0</v>
      </c>
      <c r="J27" s="19">
        <v>-6.4</v>
      </c>
      <c r="K27" s="19">
        <f>D27+E27</f>
        <v>6</v>
      </c>
      <c r="L27" s="19">
        <f>AVERAGE(K24:K27)</f>
        <v>1.425</v>
      </c>
      <c r="M27" s="19"/>
      <c r="N27" s="19">
        <f>-J27+N26</f>
        <v>-2</v>
      </c>
      <c r="O27" s="19"/>
      <c r="P27" s="19">
        <f>1+P26</f>
        <v>24</v>
      </c>
    </row>
    <row r="28" ht="20.05" customHeight="1">
      <c r="B28" s="34">
        <v>2021</v>
      </c>
      <c r="C28" s="18">
        <f>39.2</f>
        <v>39.2</v>
      </c>
      <c r="D28" s="19">
        <v>11.1</v>
      </c>
      <c r="E28" s="19">
        <v>-1</v>
      </c>
      <c r="F28" s="35">
        <f>-0.5</f>
        <v>-0.5</v>
      </c>
      <c r="G28" s="19">
        <v>-0.1</v>
      </c>
      <c r="H28" s="19">
        <f>J28-I28-F28-G28</f>
        <v>-7.408</v>
      </c>
      <c r="I28" s="19">
        <v>0.008</v>
      </c>
      <c r="J28" s="19">
        <f>-8</f>
        <v>-8</v>
      </c>
      <c r="K28" s="19">
        <f>D28+E28</f>
        <v>10.1</v>
      </c>
      <c r="L28" s="19">
        <f>AVERAGE(K25:K28)</f>
        <v>4.25</v>
      </c>
      <c r="M28" s="19"/>
      <c r="N28" s="19">
        <f>-J28+N27</f>
        <v>6</v>
      </c>
      <c r="O28" s="19"/>
      <c r="P28" s="19">
        <f>1+P27</f>
        <v>25</v>
      </c>
    </row>
    <row r="29" ht="20.05" customHeight="1">
      <c r="B29" s="32"/>
      <c r="C29" s="18">
        <f>77.5-C28</f>
        <v>38.3</v>
      </c>
      <c r="D29" s="19">
        <f>17.6-D28</f>
        <v>6.5</v>
      </c>
      <c r="E29" s="19">
        <f>-2.4-E28</f>
        <v>-1.4</v>
      </c>
      <c r="F29" s="35">
        <f>-0.9-F28</f>
        <v>-0.4</v>
      </c>
      <c r="G29" s="19">
        <f>-0.2-G28</f>
        <v>-0.1</v>
      </c>
      <c r="H29" s="19">
        <f>J29-I29-F29-G29</f>
        <v>-4.7</v>
      </c>
      <c r="I29" s="19">
        <v>0</v>
      </c>
      <c r="J29" s="19">
        <f>-13.2-J28</f>
        <v>-5.2</v>
      </c>
      <c r="K29" s="19">
        <f>D29+E29</f>
        <v>5.1</v>
      </c>
      <c r="L29" s="19">
        <f>AVERAGE(K26:K29)</f>
        <v>6.875</v>
      </c>
      <c r="M29" s="19"/>
      <c r="N29" s="19">
        <f>-J29+N28</f>
        <v>11.2</v>
      </c>
      <c r="O29" s="19"/>
      <c r="P29" s="19">
        <f>1+P28</f>
        <v>26</v>
      </c>
    </row>
    <row r="30" ht="20.05" customHeight="1">
      <c r="B30" s="32"/>
      <c r="C30" s="18">
        <f>116.8-SUM(C28:C29)</f>
        <v>39.3</v>
      </c>
      <c r="D30" s="19">
        <f>23.1-SUM(D28:D29)</f>
        <v>5.5</v>
      </c>
      <c r="E30" s="19">
        <f>-4.5-SUM(E28:E29)</f>
        <v>-2.1</v>
      </c>
      <c r="F30" s="35">
        <f>-1.1-SUM(F28:F29)</f>
        <v>-0.2</v>
      </c>
      <c r="G30" s="19">
        <f>-0.3-SUM(G28:G29)</f>
        <v>-0.1</v>
      </c>
      <c r="H30" s="19">
        <f>J30-I30-F30-G30</f>
        <v>-3.2</v>
      </c>
      <c r="I30" s="19">
        <v>0</v>
      </c>
      <c r="J30" s="19">
        <f>-16.7-SUM(J28:J29)</f>
        <v>-3.5</v>
      </c>
      <c r="K30" s="19">
        <f>D30+E30</f>
        <v>3.4</v>
      </c>
      <c r="L30" s="19">
        <f>AVERAGE(K27:K30)</f>
        <v>6.15</v>
      </c>
      <c r="M30" s="19"/>
      <c r="N30" s="19">
        <f>-J30+N29</f>
        <v>14.7</v>
      </c>
      <c r="O30" s="19"/>
      <c r="P30" s="19">
        <f>1+P29</f>
        <v>27</v>
      </c>
    </row>
    <row r="31" ht="20.05" customHeight="1">
      <c r="B31" s="32"/>
      <c r="C31" s="18">
        <f>158.4-SUM(C28:C30)</f>
        <v>41.6</v>
      </c>
      <c r="D31" s="19">
        <f>18.6-SUM(D28:D30)</f>
        <v>-4.5</v>
      </c>
      <c r="E31" s="19">
        <f>-5.5-SUM(E28:E30)</f>
        <v>-1</v>
      </c>
      <c r="F31" s="35">
        <f>-1.3-SUM(F28:F30)</f>
        <v>-0.2</v>
      </c>
      <c r="G31" s="19">
        <f>-0.3-SUM(G28:G30)</f>
        <v>0</v>
      </c>
      <c r="H31" s="19">
        <f>J31-I31-F31-G31</f>
        <v>0.9</v>
      </c>
      <c r="I31" s="19">
        <v>0</v>
      </c>
      <c r="J31" s="19">
        <f>-16-SUM(J28:J30)</f>
        <v>0.7</v>
      </c>
      <c r="K31" s="19">
        <f>D31+E31</f>
        <v>-5.5</v>
      </c>
      <c r="L31" s="19">
        <f>AVERAGE(K28:K31)</f>
        <v>3.275</v>
      </c>
      <c r="M31" s="19"/>
      <c r="N31" s="19">
        <f>-J31+N30</f>
        <v>14</v>
      </c>
      <c r="O31" s="19"/>
      <c r="P31" s="19">
        <f>1+P30</f>
        <v>28</v>
      </c>
    </row>
    <row r="32" ht="20.05" customHeight="1">
      <c r="B32" s="34">
        <v>2022</v>
      </c>
      <c r="C32" s="18">
        <v>43.5</v>
      </c>
      <c r="D32" s="19">
        <v>3.6</v>
      </c>
      <c r="E32" s="19">
        <v>-1.7</v>
      </c>
      <c r="F32" s="35">
        <v>-0.2</v>
      </c>
      <c r="G32" s="19">
        <v>0</v>
      </c>
      <c r="H32" s="19">
        <f>4.2-3.4</f>
        <v>0.8</v>
      </c>
      <c r="I32" s="19">
        <v>0</v>
      </c>
      <c r="J32" s="19">
        <v>0.7</v>
      </c>
      <c r="K32" s="19">
        <f>D32+E32</f>
        <v>1.9</v>
      </c>
      <c r="L32" s="19">
        <f>AVERAGE(K29:K32)</f>
        <v>1.225</v>
      </c>
      <c r="M32" s="19">
        <v>1.5741596158094</v>
      </c>
      <c r="N32" s="19">
        <f>-J32+N31</f>
        <v>13.3</v>
      </c>
      <c r="O32" s="19">
        <v>19.7203526799743</v>
      </c>
      <c r="P32" s="19">
        <f>1+P31</f>
        <v>29</v>
      </c>
    </row>
    <row r="33" ht="20.05" customHeight="1">
      <c r="B33" s="32"/>
      <c r="C33" s="18"/>
      <c r="D33" s="19"/>
      <c r="E33" s="19"/>
      <c r="F33" s="35"/>
      <c r="G33" s="19"/>
      <c r="H33" s="19"/>
      <c r="I33" s="19"/>
      <c r="J33" s="19"/>
      <c r="K33" s="19"/>
      <c r="L33" s="33"/>
      <c r="M33" s="19">
        <f>SUM('Model'!F9:F10)</f>
        <v>1.844701487196</v>
      </c>
      <c r="N33" s="33"/>
      <c r="O33" s="19">
        <f>'Model'!F34</f>
        <v>20.4647794813346</v>
      </c>
      <c r="P33" s="19"/>
    </row>
  </sheetData>
  <mergeCells count="1">
    <mergeCell ref="B2:P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8828" style="41" customWidth="1"/>
    <col min="2" max="10" width="10.2578" style="41" customWidth="1"/>
    <col min="11" max="16384" width="16.3516" style="41" customWidth="1"/>
  </cols>
  <sheetData>
    <row r="1" ht="27.65" customHeight="1">
      <c r="A1" t="s" s="2">
        <v>53</v>
      </c>
      <c r="B1" s="2"/>
      <c r="C1" s="2"/>
      <c r="D1" s="2"/>
      <c r="E1" s="2"/>
      <c r="F1" s="2"/>
      <c r="G1" s="2"/>
      <c r="H1" s="2"/>
      <c r="I1" s="2"/>
      <c r="J1" s="2"/>
    </row>
    <row r="2" ht="38.65" customHeight="1">
      <c r="A2" t="s" s="5">
        <v>1</v>
      </c>
      <c r="B2" t="s" s="5">
        <v>54</v>
      </c>
      <c r="C2" t="s" s="5">
        <v>55</v>
      </c>
      <c r="D2" t="s" s="5">
        <v>56</v>
      </c>
      <c r="E2" t="s" s="5">
        <v>24</v>
      </c>
      <c r="F2" t="s" s="5">
        <v>11</v>
      </c>
      <c r="G2" t="s" s="5">
        <v>14</v>
      </c>
      <c r="H2" t="s" s="5">
        <v>57</v>
      </c>
      <c r="I2" t="s" s="5">
        <v>27</v>
      </c>
      <c r="J2" t="s" s="5">
        <v>35</v>
      </c>
    </row>
    <row r="3" ht="21.1" customHeight="1">
      <c r="A3" s="26">
        <v>2016</v>
      </c>
      <c r="B3" s="39">
        <v>12</v>
      </c>
      <c r="C3" s="29">
        <v>120</v>
      </c>
      <c r="D3" s="29">
        <f>C3-B3</f>
        <v>108</v>
      </c>
      <c r="E3" s="29">
        <v>110</v>
      </c>
      <c r="F3" s="29">
        <v>64</v>
      </c>
      <c r="G3" s="42">
        <v>56</v>
      </c>
      <c r="H3" s="29">
        <f>F3+G3-B3-D3</f>
        <v>0</v>
      </c>
      <c r="I3" s="29">
        <f>B3-F3</f>
        <v>-52</v>
      </c>
      <c r="J3" s="29"/>
    </row>
    <row r="4" ht="20.9" customHeight="1">
      <c r="A4" s="32"/>
      <c r="B4" s="18">
        <v>9</v>
      </c>
      <c r="C4" s="19">
        <v>117</v>
      </c>
      <c r="D4" s="19">
        <f>C4-B4</f>
        <v>108</v>
      </c>
      <c r="E4" s="19">
        <v>113</v>
      </c>
      <c r="F4" s="19">
        <v>62</v>
      </c>
      <c r="G4" s="43">
        <v>55</v>
      </c>
      <c r="H4" s="19">
        <f>F4+G4-B4-D4</f>
        <v>0</v>
      </c>
      <c r="I4" s="19">
        <f>B4-F4</f>
        <v>-53</v>
      </c>
      <c r="J4" s="19"/>
    </row>
    <row r="5" ht="20.9" customHeight="1">
      <c r="A5" s="32"/>
      <c r="B5" s="18">
        <v>14</v>
      </c>
      <c r="C5" s="19">
        <v>119</v>
      </c>
      <c r="D5" s="19">
        <f>C5-B5</f>
        <v>105</v>
      </c>
      <c r="E5" s="19">
        <v>115</v>
      </c>
      <c r="F5" s="19">
        <v>62</v>
      </c>
      <c r="G5" s="43">
        <v>57</v>
      </c>
      <c r="H5" s="19">
        <f>F5+G5-B5-D5</f>
        <v>0</v>
      </c>
      <c r="I5" s="19">
        <f>B5-F5</f>
        <v>-48</v>
      </c>
      <c r="J5" s="19"/>
    </row>
    <row r="6" ht="20.9" customHeight="1">
      <c r="A6" s="32"/>
      <c r="B6" s="18">
        <v>12</v>
      </c>
      <c r="C6" s="19">
        <v>113</v>
      </c>
      <c r="D6" s="19">
        <f>C6-B6</f>
        <v>101</v>
      </c>
      <c r="E6" s="19">
        <v>118</v>
      </c>
      <c r="F6" s="19">
        <v>57</v>
      </c>
      <c r="G6" s="43">
        <v>56</v>
      </c>
      <c r="H6" s="19">
        <f>F6+G6-B6-D6</f>
        <v>0</v>
      </c>
      <c r="I6" s="19">
        <f>B6-F6</f>
        <v>-45</v>
      </c>
      <c r="J6" s="19"/>
    </row>
    <row r="7" ht="20.9" customHeight="1">
      <c r="A7" s="34">
        <v>2017</v>
      </c>
      <c r="B7" s="18">
        <v>16</v>
      </c>
      <c r="C7" s="19">
        <v>120</v>
      </c>
      <c r="D7" s="19">
        <f>C7-B7</f>
        <v>104</v>
      </c>
      <c r="E7" s="19">
        <v>120</v>
      </c>
      <c r="F7" s="19">
        <v>65</v>
      </c>
      <c r="G7" s="43">
        <v>55</v>
      </c>
      <c r="H7" s="19">
        <f>F7+G7-B7-D7</f>
        <v>0</v>
      </c>
      <c r="I7" s="19">
        <f>B7-F7</f>
        <v>-49</v>
      </c>
      <c r="J7" s="19"/>
    </row>
    <row r="8" ht="20.9" customHeight="1">
      <c r="A8" s="32"/>
      <c r="B8" s="18">
        <v>15</v>
      </c>
      <c r="C8" s="19">
        <v>122</v>
      </c>
      <c r="D8" s="19">
        <f>C8-B8</f>
        <v>107</v>
      </c>
      <c r="E8" s="19">
        <v>123</v>
      </c>
      <c r="F8" s="19">
        <v>68</v>
      </c>
      <c r="G8" s="43">
        <v>54</v>
      </c>
      <c r="H8" s="19">
        <f>F8+G8-B8-D8</f>
        <v>0</v>
      </c>
      <c r="I8" s="19">
        <f>B8-F8</f>
        <v>-53</v>
      </c>
      <c r="J8" s="19"/>
    </row>
    <row r="9" ht="20.9" customHeight="1">
      <c r="A9" s="32"/>
      <c r="B9" s="18"/>
      <c r="C9" s="19"/>
      <c r="D9" s="19">
        <f>C9-B9</f>
        <v>0</v>
      </c>
      <c r="E9" s="19"/>
      <c r="F9" s="19"/>
      <c r="G9" s="43"/>
      <c r="H9" s="19">
        <f>F9+G9-B9-D9</f>
        <v>0</v>
      </c>
      <c r="I9" s="19"/>
      <c r="J9" s="19"/>
    </row>
    <row r="10" ht="20.9" customHeight="1">
      <c r="A10" s="32"/>
      <c r="B10" s="18">
        <v>19</v>
      </c>
      <c r="C10" s="19">
        <v>124</v>
      </c>
      <c r="D10" s="19">
        <f>C10-B10</f>
        <v>105</v>
      </c>
      <c r="E10" s="19">
        <v>122</v>
      </c>
      <c r="F10" s="19">
        <v>70</v>
      </c>
      <c r="G10" s="43">
        <v>54</v>
      </c>
      <c r="H10" s="19">
        <f>F10+G10-B10-D10</f>
        <v>0</v>
      </c>
      <c r="I10" s="19">
        <f>B10-F10</f>
        <v>-51</v>
      </c>
      <c r="J10" s="19"/>
    </row>
    <row r="11" ht="20.9" customHeight="1">
      <c r="A11" s="34">
        <v>2018</v>
      </c>
      <c r="B11" s="18">
        <v>19</v>
      </c>
      <c r="C11" s="19">
        <v>124</v>
      </c>
      <c r="D11" s="19">
        <f>C11-B11</f>
        <v>105</v>
      </c>
      <c r="E11" s="19">
        <v>123</v>
      </c>
      <c r="F11" s="19">
        <v>70</v>
      </c>
      <c r="G11" s="43">
        <v>54</v>
      </c>
      <c r="H11" s="19">
        <f>F11+G11-B11-D11</f>
        <v>0</v>
      </c>
      <c r="I11" s="19">
        <f>B11-F11</f>
        <v>-51</v>
      </c>
      <c r="J11" s="19"/>
    </row>
    <row r="12" ht="20.9" customHeight="1">
      <c r="A12" s="32"/>
      <c r="B12" s="18">
        <v>24</v>
      </c>
      <c r="C12" s="19">
        <v>138</v>
      </c>
      <c r="D12" s="19">
        <f>C12-B12</f>
        <v>114</v>
      </c>
      <c r="E12" s="19">
        <v>125</v>
      </c>
      <c r="F12" s="19">
        <v>83</v>
      </c>
      <c r="G12" s="43">
        <v>55</v>
      </c>
      <c r="H12" s="19">
        <f>F12+G12-B12-D12</f>
        <v>0</v>
      </c>
      <c r="I12" s="19">
        <f>B12-F12</f>
        <v>-59</v>
      </c>
      <c r="J12" s="19"/>
    </row>
    <row r="13" ht="20.9" customHeight="1">
      <c r="A13" s="32"/>
      <c r="B13" s="18">
        <v>17</v>
      </c>
      <c r="C13" s="19">
        <v>128</v>
      </c>
      <c r="D13" s="19">
        <f>C13-B13</f>
        <v>111</v>
      </c>
      <c r="E13" s="19">
        <v>126</v>
      </c>
      <c r="F13" s="19">
        <v>75</v>
      </c>
      <c r="G13" s="43">
        <v>53</v>
      </c>
      <c r="H13" s="19">
        <f>F13+G13-B13-D13</f>
        <v>0</v>
      </c>
      <c r="I13" s="19">
        <f>B13-F13</f>
        <v>-58</v>
      </c>
      <c r="J13" s="19"/>
    </row>
    <row r="14" ht="20.9" customHeight="1">
      <c r="A14" s="32"/>
      <c r="B14" s="18">
        <v>13</v>
      </c>
      <c r="C14" s="19">
        <v>126</v>
      </c>
      <c r="D14" s="19">
        <f>C14-B14</f>
        <v>113</v>
      </c>
      <c r="E14" s="19">
        <v>125</v>
      </c>
      <c r="F14" s="19">
        <v>72</v>
      </c>
      <c r="G14" s="43">
        <v>54</v>
      </c>
      <c r="H14" s="19">
        <f>F14+G14-B14-D14</f>
        <v>0</v>
      </c>
      <c r="I14" s="19">
        <f>B14-F14</f>
        <v>-59</v>
      </c>
      <c r="J14" s="19"/>
    </row>
    <row r="15" ht="20.9" customHeight="1">
      <c r="A15" s="34">
        <v>2019</v>
      </c>
      <c r="B15" s="18">
        <v>10</v>
      </c>
      <c r="C15" s="19">
        <v>124</v>
      </c>
      <c r="D15" s="19">
        <f>C15-B15</f>
        <v>114</v>
      </c>
      <c r="E15" s="19">
        <v>127</v>
      </c>
      <c r="F15" s="19">
        <v>71</v>
      </c>
      <c r="G15" s="43">
        <v>53</v>
      </c>
      <c r="H15" s="19">
        <f>F15+G15-B15-D15</f>
        <v>0</v>
      </c>
      <c r="I15" s="19">
        <f>B15-F15</f>
        <v>-61</v>
      </c>
      <c r="J15" s="19"/>
    </row>
    <row r="16" ht="20.9" customHeight="1">
      <c r="A16" s="32"/>
      <c r="B16" s="18">
        <v>7</v>
      </c>
      <c r="C16" s="19">
        <v>127</v>
      </c>
      <c r="D16" s="19">
        <f>C16-B16</f>
        <v>120</v>
      </c>
      <c r="E16" s="19">
        <v>128</v>
      </c>
      <c r="F16" s="19">
        <v>75</v>
      </c>
      <c r="G16" s="43">
        <v>52</v>
      </c>
      <c r="H16" s="19">
        <f>F16+G16-B16-D16</f>
        <v>0</v>
      </c>
      <c r="I16" s="19">
        <f>B16-F16</f>
        <v>-68</v>
      </c>
      <c r="J16" s="19"/>
    </row>
    <row r="17" ht="20.9" customHeight="1">
      <c r="A17" s="32"/>
      <c r="B17" s="18">
        <v>9</v>
      </c>
      <c r="C17" s="19">
        <v>126</v>
      </c>
      <c r="D17" s="19">
        <f>C17-B17</f>
        <v>117</v>
      </c>
      <c r="E17" s="19">
        <v>130</v>
      </c>
      <c r="F17" s="19">
        <v>74</v>
      </c>
      <c r="G17" s="43">
        <v>52</v>
      </c>
      <c r="H17" s="19">
        <f>F17+G17-B17-D17</f>
        <v>0</v>
      </c>
      <c r="I17" s="19">
        <f>B17-F17</f>
        <v>-65</v>
      </c>
      <c r="J17" s="19"/>
    </row>
    <row r="18" ht="20.9" customHeight="1">
      <c r="A18" s="32"/>
      <c r="B18" s="18">
        <v>8</v>
      </c>
      <c r="C18" s="19">
        <v>120</v>
      </c>
      <c r="D18" s="19">
        <f>C18-B18</f>
        <v>112</v>
      </c>
      <c r="E18" s="19">
        <f>131</f>
        <v>131</v>
      </c>
      <c r="F18" s="19">
        <v>68</v>
      </c>
      <c r="G18" s="43">
        <v>52</v>
      </c>
      <c r="H18" s="19">
        <f>F18+G18-B18-D18</f>
        <v>0</v>
      </c>
      <c r="I18" s="19">
        <f>B18-F18</f>
        <v>-60</v>
      </c>
      <c r="J18" s="19"/>
    </row>
    <row r="19" ht="20.9" customHeight="1">
      <c r="A19" s="34">
        <v>2020</v>
      </c>
      <c r="B19" s="18">
        <v>15</v>
      </c>
      <c r="C19" s="19">
        <v>134</v>
      </c>
      <c r="D19" s="19">
        <f>C19-B19</f>
        <v>119</v>
      </c>
      <c r="E19" s="19">
        <v>132</v>
      </c>
      <c r="F19" s="19">
        <v>78</v>
      </c>
      <c r="G19" s="43">
        <v>56</v>
      </c>
      <c r="H19" s="19">
        <f>F19+G19-B19-D19</f>
        <v>0</v>
      </c>
      <c r="I19" s="19">
        <f>B19-F19</f>
        <v>-63</v>
      </c>
      <c r="J19" s="19"/>
    </row>
    <row r="20" ht="20.9" customHeight="1">
      <c r="A20" s="32"/>
      <c r="B20" s="18">
        <v>9</v>
      </c>
      <c r="C20" s="19">
        <v>118</v>
      </c>
      <c r="D20" s="19">
        <f>C20-B20</f>
        <v>109</v>
      </c>
      <c r="E20" s="19">
        <v>134</v>
      </c>
      <c r="F20" s="19">
        <v>70</v>
      </c>
      <c r="G20" s="43">
        <v>48</v>
      </c>
      <c r="H20" s="19">
        <f>F20+G20-B20-D20</f>
        <v>0</v>
      </c>
      <c r="I20" s="19">
        <f>B20-F20</f>
        <v>-61</v>
      </c>
      <c r="J20" s="19"/>
    </row>
    <row r="21" ht="20.9" customHeight="1">
      <c r="A21" s="32"/>
      <c r="B21" s="18">
        <v>15</v>
      </c>
      <c r="C21" s="19">
        <v>124</v>
      </c>
      <c r="D21" s="19">
        <f>C21-B21</f>
        <v>109</v>
      </c>
      <c r="E21" s="19">
        <f>136</f>
        <v>136</v>
      </c>
      <c r="F21" s="19">
        <v>76</v>
      </c>
      <c r="G21" s="43">
        <v>48</v>
      </c>
      <c r="H21" s="19">
        <f>F21+G21-B21-D21</f>
        <v>0</v>
      </c>
      <c r="I21" s="19">
        <f>B21-F21</f>
        <v>-61</v>
      </c>
      <c r="J21" s="19"/>
    </row>
    <row r="22" ht="20.9" customHeight="1">
      <c r="A22" s="32"/>
      <c r="B22" s="18">
        <v>15</v>
      </c>
      <c r="C22" s="19">
        <v>116</v>
      </c>
      <c r="D22" s="19">
        <f>C22-B22</f>
        <v>101</v>
      </c>
      <c r="E22" s="19">
        <f>137+1</f>
        <v>138</v>
      </c>
      <c r="F22" s="19">
        <v>71</v>
      </c>
      <c r="G22" s="19">
        <v>45</v>
      </c>
      <c r="H22" s="19">
        <f>F22+G22-B22-D22</f>
        <v>0</v>
      </c>
      <c r="I22" s="19">
        <f>B22-F22</f>
        <v>-56</v>
      </c>
      <c r="J22" s="19"/>
    </row>
    <row r="23" ht="20.9" customHeight="1">
      <c r="A23" s="34">
        <v>2021</v>
      </c>
      <c r="B23" s="18">
        <v>17</v>
      </c>
      <c r="C23" s="19">
        <v>121</v>
      </c>
      <c r="D23" s="19">
        <f>C23-B23</f>
        <v>104</v>
      </c>
      <c r="E23" s="19">
        <f>138+1</f>
        <v>139</v>
      </c>
      <c r="F23" s="19">
        <f>74</f>
        <v>74</v>
      </c>
      <c r="G23" s="19">
        <v>47</v>
      </c>
      <c r="H23" s="19">
        <f>F23+G23-B23-D23</f>
        <v>0</v>
      </c>
      <c r="I23" s="19">
        <f>B23-F23</f>
        <v>-57</v>
      </c>
      <c r="J23" s="19"/>
    </row>
    <row r="24" ht="20.9" customHeight="1">
      <c r="A24" s="32"/>
      <c r="B24" s="18">
        <v>17</v>
      </c>
      <c r="C24" s="19">
        <v>120</v>
      </c>
      <c r="D24" s="19">
        <f>C24-B24</f>
        <v>103</v>
      </c>
      <c r="E24" s="19">
        <f>140+1</f>
        <v>141</v>
      </c>
      <c r="F24" s="19">
        <v>71</v>
      </c>
      <c r="G24" s="19">
        <v>49</v>
      </c>
      <c r="H24" s="19">
        <f>F24+G24-B24-D24</f>
        <v>0</v>
      </c>
      <c r="I24" s="19">
        <f>B24-F24</f>
        <v>-54</v>
      </c>
      <c r="J24" s="19"/>
    </row>
    <row r="25" ht="20.9" customHeight="1">
      <c r="A25" s="32"/>
      <c r="B25" s="18">
        <v>17</v>
      </c>
      <c r="C25" s="19">
        <v>119</v>
      </c>
      <c r="D25" s="19">
        <f>C25-B25</f>
        <v>102</v>
      </c>
      <c r="E25" s="19">
        <f>142+1</f>
        <v>143</v>
      </c>
      <c r="F25" s="19">
        <v>71</v>
      </c>
      <c r="G25" s="19">
        <v>48</v>
      </c>
      <c r="H25" s="19">
        <f>F25+G25-B25-D25</f>
        <v>0</v>
      </c>
      <c r="I25" s="19">
        <f>B25-F25</f>
        <v>-54</v>
      </c>
      <c r="J25" s="19"/>
    </row>
    <row r="26" ht="20.9" customHeight="1">
      <c r="A26" s="32"/>
      <c r="B26" s="18">
        <v>12</v>
      </c>
      <c r="C26" s="19">
        <v>120</v>
      </c>
      <c r="D26" s="19">
        <f>C26-B26</f>
        <v>108</v>
      </c>
      <c r="E26" s="19">
        <f>1+143</f>
        <v>144</v>
      </c>
      <c r="F26" s="19">
        <v>72</v>
      </c>
      <c r="G26" s="19">
        <v>48</v>
      </c>
      <c r="H26" s="19">
        <f>F26+G26-B26-D26</f>
        <v>0</v>
      </c>
      <c r="I26" s="19">
        <f>B26-F26</f>
        <v>-60</v>
      </c>
      <c r="J26" s="19"/>
    </row>
    <row r="27" ht="20.9" customHeight="1">
      <c r="A27" s="34">
        <v>2022</v>
      </c>
      <c r="B27" s="18">
        <v>15</v>
      </c>
      <c r="C27" s="19">
        <v>126</v>
      </c>
      <c r="D27" s="19">
        <f>C27-B27</f>
        <v>111</v>
      </c>
      <c r="E27" s="19">
        <f>1+145</f>
        <v>146</v>
      </c>
      <c r="F27" s="19">
        <v>79</v>
      </c>
      <c r="G27" s="19">
        <v>47</v>
      </c>
      <c r="H27" s="19">
        <f>F27+G27-B27-D27</f>
        <v>0</v>
      </c>
      <c r="I27" s="19">
        <f>B27-F27</f>
        <v>-64</v>
      </c>
      <c r="J27" s="19">
        <v>-55.155753124018</v>
      </c>
    </row>
    <row r="28" ht="20.9" customHeight="1">
      <c r="A28" s="32"/>
      <c r="B28" s="18"/>
      <c r="C28" s="19"/>
      <c r="D28" s="19">
        <f>C28-B28</f>
        <v>0</v>
      </c>
      <c r="E28" s="19"/>
      <c r="F28" s="19"/>
      <c r="G28" s="19"/>
      <c r="H28" s="19"/>
      <c r="I28" s="19"/>
      <c r="J28" s="19">
        <f>'Model'!F31</f>
        <v>-56.8352205186654</v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9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4" customWidth="1"/>
    <col min="2" max="4" width="11.8516" style="44" customWidth="1"/>
    <col min="5" max="16384" width="8.35156" style="44" customWidth="1"/>
  </cols>
  <sheetData>
    <row r="1" ht="27.65" customHeight="1">
      <c r="A1" t="s" s="2">
        <v>58</v>
      </c>
      <c r="B1" s="2"/>
      <c r="C1" s="2"/>
      <c r="D1" s="2"/>
    </row>
    <row r="2" ht="20.25" customHeight="1">
      <c r="A2" t="s" s="45">
        <v>59</v>
      </c>
      <c r="B2" t="s" s="45">
        <v>60</v>
      </c>
      <c r="C2" t="s" s="45">
        <v>61</v>
      </c>
      <c r="D2" t="s" s="45">
        <v>62</v>
      </c>
    </row>
    <row r="3" ht="20.25" customHeight="1">
      <c r="A3" s="46">
        <v>2016</v>
      </c>
      <c r="B3" s="47">
        <v>2207.370117</v>
      </c>
      <c r="C3" s="48"/>
      <c r="D3" s="48"/>
    </row>
    <row r="4" ht="20.05" customHeight="1">
      <c r="A4" s="49"/>
      <c r="B4" s="50">
        <v>2182.568115</v>
      </c>
      <c r="C4" s="51"/>
      <c r="D4" s="51"/>
    </row>
    <row r="5" ht="20.05" customHeight="1">
      <c r="A5" s="49"/>
      <c r="B5" s="50">
        <v>2182.568115</v>
      </c>
      <c r="C5" s="51"/>
      <c r="D5" s="51"/>
    </row>
    <row r="6" ht="20.05" customHeight="1">
      <c r="A6" s="49"/>
      <c r="B6" s="50">
        <v>1507.956177</v>
      </c>
      <c r="C6" s="51"/>
      <c r="D6" s="51"/>
    </row>
    <row r="7" ht="20.05" customHeight="1">
      <c r="A7" s="52">
        <v>2017</v>
      </c>
      <c r="B7" s="50">
        <v>1686.530029</v>
      </c>
      <c r="C7" s="51"/>
      <c r="D7" s="51"/>
    </row>
    <row r="8" ht="20.05" customHeight="1">
      <c r="A8" s="49"/>
      <c r="B8" s="50">
        <v>2200</v>
      </c>
      <c r="C8" s="51"/>
      <c r="D8" s="51"/>
    </row>
    <row r="9" ht="20.05" customHeight="1">
      <c r="A9" s="49"/>
      <c r="B9" s="50">
        <v>2100</v>
      </c>
      <c r="C9" s="51"/>
      <c r="D9" s="51"/>
    </row>
    <row r="10" ht="20.05" customHeight="1">
      <c r="A10" s="49"/>
      <c r="B10" s="50">
        <v>2180</v>
      </c>
      <c r="C10" s="51"/>
      <c r="D10" s="51"/>
    </row>
    <row r="11" ht="20.05" customHeight="1">
      <c r="A11" s="52">
        <v>2018</v>
      </c>
      <c r="B11" s="50">
        <v>2080</v>
      </c>
      <c r="C11" s="51"/>
      <c r="D11" s="51"/>
    </row>
    <row r="12" ht="20.05" customHeight="1">
      <c r="A12" s="49"/>
      <c r="B12" s="50">
        <v>2100</v>
      </c>
      <c r="C12" s="51"/>
      <c r="D12" s="51"/>
    </row>
    <row r="13" ht="20.05" customHeight="1">
      <c r="A13" s="49"/>
      <c r="B13" s="50">
        <v>2190</v>
      </c>
      <c r="C13" s="51"/>
      <c r="D13" s="51"/>
    </row>
    <row r="14" ht="20.05" customHeight="1">
      <c r="A14" s="49"/>
      <c r="B14" s="50">
        <v>2220</v>
      </c>
      <c r="C14" s="51"/>
      <c r="D14" s="51"/>
    </row>
    <row r="15" ht="20.05" customHeight="1">
      <c r="A15" s="52">
        <v>2019</v>
      </c>
      <c r="B15" s="50">
        <v>2010</v>
      </c>
      <c r="C15" s="51"/>
      <c r="D15" s="51"/>
    </row>
    <row r="16" ht="20.05" customHeight="1">
      <c r="A16" s="49"/>
      <c r="B16" s="50">
        <v>1985</v>
      </c>
      <c r="C16" s="51"/>
      <c r="D16" s="51"/>
    </row>
    <row r="17" ht="20.05" customHeight="1">
      <c r="A17" s="49"/>
      <c r="B17" s="50">
        <v>1985</v>
      </c>
      <c r="C17" s="51"/>
      <c r="D17" s="51"/>
    </row>
    <row r="18" ht="20.05" customHeight="1">
      <c r="A18" s="49"/>
      <c r="B18" s="50">
        <v>1990</v>
      </c>
      <c r="C18" s="51"/>
      <c r="D18" s="51"/>
    </row>
    <row r="19" ht="20.05" customHeight="1">
      <c r="A19" s="52">
        <v>2020</v>
      </c>
      <c r="B19" s="50">
        <v>1590</v>
      </c>
      <c r="C19" s="51"/>
      <c r="D19" s="51"/>
    </row>
    <row r="20" ht="20.05" customHeight="1">
      <c r="A20" s="49"/>
      <c r="B20" s="50">
        <v>1400</v>
      </c>
      <c r="C20" s="51"/>
      <c r="D20" s="51"/>
    </row>
    <row r="21" ht="20.05" customHeight="1">
      <c r="A21" s="49"/>
      <c r="B21" s="50">
        <v>1450</v>
      </c>
      <c r="C21" s="51"/>
      <c r="D21" s="51"/>
    </row>
    <row r="22" ht="20.05" customHeight="1">
      <c r="A22" s="49"/>
      <c r="B22" s="50">
        <v>1420</v>
      </c>
      <c r="C22" s="51"/>
      <c r="D22" s="51"/>
    </row>
    <row r="23" ht="20.05" customHeight="1">
      <c r="A23" s="52">
        <v>2021</v>
      </c>
      <c r="B23" s="50">
        <v>1480</v>
      </c>
      <c r="C23" s="51"/>
      <c r="D23" s="51"/>
    </row>
    <row r="24" ht="20.05" customHeight="1">
      <c r="A24" s="49"/>
      <c r="B24" s="50">
        <v>1525</v>
      </c>
      <c r="C24" s="51"/>
      <c r="D24" s="51"/>
    </row>
    <row r="25" ht="20.05" customHeight="1">
      <c r="A25" s="49"/>
      <c r="B25" s="50">
        <v>1405</v>
      </c>
      <c r="C25" s="51"/>
      <c r="D25" s="51"/>
    </row>
    <row r="26" ht="20.05" customHeight="1">
      <c r="A26" s="49"/>
      <c r="B26" s="50">
        <v>1340</v>
      </c>
      <c r="C26" s="53">
        <v>3303.820082703070</v>
      </c>
      <c r="D26" s="51"/>
    </row>
    <row r="27" ht="20.05" customHeight="1">
      <c r="A27" s="52">
        <v>2022</v>
      </c>
      <c r="B27" s="50">
        <v>1325</v>
      </c>
      <c r="C27" s="53">
        <v>2203.009203902230</v>
      </c>
      <c r="D27" s="51"/>
    </row>
    <row r="28" ht="20.05" customHeight="1">
      <c r="A28" s="49"/>
      <c r="B28" s="50">
        <v>1335</v>
      </c>
      <c r="C28" s="53">
        <v>1953.291159015610</v>
      </c>
      <c r="D28" s="51"/>
    </row>
    <row r="29" ht="20.05" customHeight="1">
      <c r="A29" s="49"/>
      <c r="B29" s="50"/>
      <c r="C29" s="53">
        <f>'Model'!F45</f>
        <v>1957.208053437740</v>
      </c>
      <c r="D29" s="51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4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3984" style="54" customWidth="1"/>
    <col min="11" max="22" width="11.375" style="55" customWidth="1"/>
    <col min="23" max="16384" width="16.3516" style="55" customWidth="1"/>
  </cols>
  <sheetData>
    <row r="1" ht="27.65" customHeight="1">
      <c r="A1" t="s" s="2">
        <v>63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11</v>
      </c>
      <c r="C2" t="s" s="5">
        <v>14</v>
      </c>
      <c r="D2" t="s" s="5">
        <v>64</v>
      </c>
      <c r="E2" t="s" s="5">
        <v>11</v>
      </c>
      <c r="F2" t="s" s="5">
        <v>14</v>
      </c>
      <c r="G2" t="s" s="5">
        <v>64</v>
      </c>
      <c r="H2" s="4"/>
      <c r="I2" s="4"/>
      <c r="J2" s="4"/>
    </row>
    <row r="3" ht="20.25" customHeight="1">
      <c r="A3" s="26">
        <v>2009</v>
      </c>
      <c r="B3" s="39">
        <v>-8.199999999999999</v>
      </c>
      <c r="C3" s="29">
        <v>-0.237</v>
      </c>
      <c r="D3" s="29">
        <f>B3+C3</f>
        <v>-8.436999999999999</v>
      </c>
      <c r="E3" s="29">
        <f>B3</f>
        <v>-8.199999999999999</v>
      </c>
      <c r="F3" s="29">
        <f>C3</f>
        <v>-0.237</v>
      </c>
      <c r="G3" s="29">
        <f>D3</f>
        <v>-8.436999999999999</v>
      </c>
      <c r="H3" s="28"/>
      <c r="I3" s="28"/>
      <c r="J3" s="28"/>
    </row>
    <row r="4" ht="20.05" customHeight="1">
      <c r="A4" s="34">
        <f>1+$A3</f>
        <v>2010</v>
      </c>
      <c r="B4" s="18">
        <v>-5.6</v>
      </c>
      <c r="C4" s="19">
        <v>-0.99</v>
      </c>
      <c r="D4" s="19">
        <f>B4+C4</f>
        <v>-6.59</v>
      </c>
      <c r="E4" s="19">
        <f>B4+E3</f>
        <v>-13.8</v>
      </c>
      <c r="F4" s="19">
        <f>C4+F3</f>
        <v>-1.227</v>
      </c>
      <c r="G4" s="19">
        <f>D4+G3</f>
        <v>-15.027</v>
      </c>
      <c r="H4" s="33"/>
      <c r="I4" s="33"/>
      <c r="J4" s="33"/>
    </row>
    <row r="5" ht="20.05" customHeight="1">
      <c r="A5" s="34">
        <f>1+$A4</f>
        <v>2011</v>
      </c>
      <c r="B5" s="18">
        <v>-7.5</v>
      </c>
      <c r="C5" s="19">
        <v>-1.2</v>
      </c>
      <c r="D5" s="19">
        <f>B5+C5</f>
        <v>-8.699999999999999</v>
      </c>
      <c r="E5" s="19">
        <f>B5+E4</f>
        <v>-21.3</v>
      </c>
      <c r="F5" s="19">
        <f>C5+F4</f>
        <v>-2.427</v>
      </c>
      <c r="G5" s="19">
        <f>D5+G4</f>
        <v>-23.727</v>
      </c>
      <c r="H5" s="33"/>
      <c r="I5" s="33"/>
      <c r="J5" s="33"/>
    </row>
    <row r="6" ht="20.05" customHeight="1">
      <c r="A6" s="34">
        <f>1+$A5</f>
        <v>2012</v>
      </c>
      <c r="B6" s="18">
        <v>-7.5</v>
      </c>
      <c r="C6" s="19">
        <v>-1.1</v>
      </c>
      <c r="D6" s="19">
        <f>B6+C6</f>
        <v>-8.6</v>
      </c>
      <c r="E6" s="19">
        <f>B6+E5</f>
        <v>-28.8</v>
      </c>
      <c r="F6" s="19">
        <f>C6+F5</f>
        <v>-3.527</v>
      </c>
      <c r="G6" s="19">
        <f>D6+G5</f>
        <v>-32.327</v>
      </c>
      <c r="H6" s="33"/>
      <c r="I6" s="33"/>
      <c r="J6" s="33"/>
    </row>
    <row r="7" ht="20.05" customHeight="1">
      <c r="A7" s="34">
        <f>1+$A6</f>
        <v>2013</v>
      </c>
      <c r="B7" s="18">
        <v>-5.6</v>
      </c>
      <c r="C7" s="19">
        <v>-1.2</v>
      </c>
      <c r="D7" s="19">
        <f>B7+C7</f>
        <v>-6.8</v>
      </c>
      <c r="E7" s="19">
        <f>B7+E6</f>
        <v>-34.4</v>
      </c>
      <c r="F7" s="19">
        <f>C7+F6</f>
        <v>-4.727</v>
      </c>
      <c r="G7" s="19">
        <f>D7+G6</f>
        <v>-39.127</v>
      </c>
      <c r="H7" s="33"/>
      <c r="I7" s="33"/>
      <c r="J7" s="33"/>
    </row>
    <row r="8" ht="20.05" customHeight="1">
      <c r="A8" s="34">
        <f>1+$A7</f>
        <v>2014</v>
      </c>
      <c r="B8" s="18">
        <v>0</v>
      </c>
      <c r="C8" s="19">
        <v>-1.1</v>
      </c>
      <c r="D8" s="19">
        <f>B8+C8</f>
        <v>-1.1</v>
      </c>
      <c r="E8" s="19">
        <f>B8+E7</f>
        <v>-34.4</v>
      </c>
      <c r="F8" s="19">
        <f>C8+F7</f>
        <v>-5.827</v>
      </c>
      <c r="G8" s="19">
        <f>D8+G7</f>
        <v>-40.227</v>
      </c>
      <c r="H8" s="33"/>
      <c r="I8" s="33"/>
      <c r="J8" s="33"/>
    </row>
    <row r="9" ht="20.05" customHeight="1">
      <c r="A9" s="34">
        <f>1+$A8</f>
        <v>2015</v>
      </c>
      <c r="B9" s="18">
        <v>0</v>
      </c>
      <c r="C9" s="19">
        <v>-1</v>
      </c>
      <c r="D9" s="19">
        <f>B9+C9</f>
        <v>-1</v>
      </c>
      <c r="E9" s="19">
        <f>B9+E8</f>
        <v>-34.4</v>
      </c>
      <c r="F9" s="19">
        <f>C9+F8</f>
        <v>-6.827</v>
      </c>
      <c r="G9" s="19">
        <f>D9+G8</f>
        <v>-41.227</v>
      </c>
      <c r="H9" s="33"/>
      <c r="I9" s="33"/>
      <c r="J9" s="33"/>
    </row>
    <row r="10" ht="20.05" customHeight="1">
      <c r="A10" s="34">
        <f>1+$A9</f>
        <v>2016</v>
      </c>
      <c r="B10" s="18">
        <f>12-6.7</f>
        <v>5.3</v>
      </c>
      <c r="C10" s="19">
        <v>0</v>
      </c>
      <c r="D10" s="19">
        <f>B10+C10</f>
        <v>5.3</v>
      </c>
      <c r="E10" s="19">
        <f>B10+E9</f>
        <v>-29.1</v>
      </c>
      <c r="F10" s="19">
        <f>C10+F9</f>
        <v>-6.827</v>
      </c>
      <c r="G10" s="19">
        <f>D10+G9</f>
        <v>-35.927</v>
      </c>
      <c r="H10" s="33"/>
      <c r="I10" s="33"/>
      <c r="J10" s="33"/>
    </row>
    <row r="11" ht="20.05" customHeight="1">
      <c r="A11" s="34">
        <f>1+$A10</f>
        <v>2017</v>
      </c>
      <c r="B11" s="18">
        <v>-0.1</v>
      </c>
      <c r="C11" s="19">
        <v>-0.4</v>
      </c>
      <c r="D11" s="19">
        <f>B11+C11</f>
        <v>-0.5</v>
      </c>
      <c r="E11" s="19">
        <f>B11+E10</f>
        <v>-29.2</v>
      </c>
      <c r="F11" s="19">
        <f>C11+F10</f>
        <v>-7.227</v>
      </c>
      <c r="G11" s="19">
        <f>D11+G10</f>
        <v>-36.427</v>
      </c>
      <c r="H11" s="33"/>
      <c r="I11" s="33"/>
      <c r="J11" s="33"/>
    </row>
    <row r="12" ht="20.05" customHeight="1">
      <c r="A12" s="34">
        <f>1+$A11</f>
        <v>2018</v>
      </c>
      <c r="B12" s="18">
        <f>32.8-25.4</f>
        <v>7.4</v>
      </c>
      <c r="C12" s="19">
        <v>0</v>
      </c>
      <c r="D12" s="19">
        <f>B12+C12</f>
        <v>7.4</v>
      </c>
      <c r="E12" s="19">
        <f>B12+E11</f>
        <v>-21.8</v>
      </c>
      <c r="F12" s="19">
        <f>C12+F11</f>
        <v>-7.227</v>
      </c>
      <c r="G12" s="19">
        <f>D12+G11</f>
        <v>-29.027</v>
      </c>
      <c r="H12" s="33"/>
      <c r="I12" s="33"/>
      <c r="J12" s="33"/>
    </row>
    <row r="13" ht="20.05" customHeight="1">
      <c r="A13" s="34">
        <f>1+$A12</f>
        <v>2019</v>
      </c>
      <c r="B13" s="18">
        <f>24.5-16</f>
        <v>8.5</v>
      </c>
      <c r="C13" s="19">
        <v>0</v>
      </c>
      <c r="D13" s="19">
        <f>B13+C13</f>
        <v>8.5</v>
      </c>
      <c r="E13" s="19">
        <f>B13+E12</f>
        <v>-13.3</v>
      </c>
      <c r="F13" s="19">
        <f>C13+F12</f>
        <v>-7.227</v>
      </c>
      <c r="G13" s="19">
        <f>D13+G12</f>
        <v>-20.527</v>
      </c>
      <c r="H13" s="33"/>
      <c r="I13" s="33"/>
      <c r="J13" s="33"/>
    </row>
    <row r="14" ht="20.05" customHeight="1">
      <c r="A14" s="34">
        <f>1+$A13</f>
        <v>2020</v>
      </c>
      <c r="B14" s="18">
        <f>40.1-36.6</f>
        <v>3.5</v>
      </c>
      <c r="C14" s="19">
        <v>0</v>
      </c>
      <c r="D14" s="19">
        <f>B14+C14</f>
        <v>3.5</v>
      </c>
      <c r="E14" s="19">
        <f>B14+E13</f>
        <v>-9.800000000000001</v>
      </c>
      <c r="F14" s="19">
        <f>C14+F13</f>
        <v>-7.227</v>
      </c>
      <c r="G14" s="19">
        <f>D14+G13</f>
        <v>-17.027</v>
      </c>
      <c r="H14" s="33"/>
      <c r="I14" s="33"/>
      <c r="J14" s="33"/>
    </row>
    <row r="15" ht="20.05" customHeight="1">
      <c r="A15" s="34">
        <f>1+$A14</f>
        <v>2021</v>
      </c>
      <c r="B15" s="18">
        <f>SUM('Cashflow'!H28:H31)</f>
        <v>-14.408</v>
      </c>
      <c r="C15" s="19">
        <f>SUM('Cashflow'!I28:I31)</f>
        <v>0.008</v>
      </c>
      <c r="D15" s="19">
        <f>B15+C15</f>
        <v>-14.4</v>
      </c>
      <c r="E15" s="19">
        <f>B15+E14</f>
        <v>-24.208</v>
      </c>
      <c r="F15" s="19">
        <f>C15+F14</f>
        <v>-7.219</v>
      </c>
      <c r="G15" s="19">
        <f>D15+G14</f>
        <v>-31.427</v>
      </c>
      <c r="H15" s="19">
        <f>AVERAGE(D3:D15)*14</f>
        <v>-33.8444615384615</v>
      </c>
      <c r="I15" s="19">
        <f>AVERAGE(D11:D15)*14</f>
        <v>12.6</v>
      </c>
      <c r="J15" s="22">
        <f>SUM('Cashflow'!H29:I32)*14</f>
        <v>-86.8</v>
      </c>
    </row>
    <row r="16" ht="20.05" customHeight="1">
      <c r="A16" s="34">
        <f>1+$A15</f>
        <v>2022</v>
      </c>
      <c r="B16" s="18">
        <f>'Cashflow'!H32</f>
        <v>0.8</v>
      </c>
      <c r="C16" s="19">
        <f>'Cashflow'!I32</f>
        <v>0</v>
      </c>
      <c r="D16" s="19">
        <f>B16+C16</f>
        <v>0.8</v>
      </c>
      <c r="E16" s="19">
        <f>B16+E15</f>
        <v>-23.408</v>
      </c>
      <c r="F16" s="19">
        <f>C16+F15</f>
        <v>-7.219</v>
      </c>
      <c r="G16" s="19">
        <f>D16+G15</f>
        <v>-30.627</v>
      </c>
      <c r="H16" s="33"/>
      <c r="I16" s="33"/>
      <c r="J16" s="33"/>
    </row>
    <row r="18" ht="27.65" customHeight="1">
      <c r="K18" t="s" s="2">
        <v>65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20.25" customHeight="1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20.25" customHeight="1">
      <c r="K20" s="56"/>
      <c r="L20" t="s" s="57">
        <v>66</v>
      </c>
      <c r="M20" s="58">
        <v>547350000000</v>
      </c>
      <c r="N20" s="28"/>
      <c r="O20" s="28"/>
      <c r="P20" s="28"/>
      <c r="Q20" s="28"/>
      <c r="R20" s="28"/>
      <c r="S20" s="28"/>
      <c r="T20" s="28"/>
      <c r="U20" s="28"/>
      <c r="V20" s="28"/>
    </row>
    <row r="21" ht="32.05" customHeight="1">
      <c r="K21" s="32"/>
      <c r="L21" t="s" s="59">
        <v>67</v>
      </c>
      <c r="M21" t="s" s="60">
        <v>68</v>
      </c>
      <c r="N21" s="24">
        <f>T40</f>
        <v>-0.0595928359967893</v>
      </c>
      <c r="O21" t="s" s="60">
        <f>U40</f>
        <v>69</v>
      </c>
      <c r="P21" t="s" s="60">
        <f>V40</f>
        <v>70</v>
      </c>
      <c r="Q21" s="33"/>
      <c r="R21" s="33"/>
      <c r="S21" s="33"/>
      <c r="T21" s="33"/>
      <c r="U21" s="33"/>
      <c r="V21" s="33"/>
    </row>
    <row r="22" ht="20.05" customHeight="1">
      <c r="K22" s="32"/>
      <c r="L22" s="61">
        <v>44650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20.05" customHeight="1">
      <c r="K23" s="32"/>
      <c r="L23" t="s" s="59">
        <v>71</v>
      </c>
      <c r="M23" s="22">
        <v>2009</v>
      </c>
      <c r="N23" s="33"/>
      <c r="O23" s="33"/>
      <c r="P23" s="33"/>
      <c r="Q23" s="33"/>
      <c r="R23" s="33"/>
      <c r="S23" s="33"/>
      <c r="T23" s="33"/>
      <c r="U23" s="33"/>
      <c r="V23" s="33"/>
    </row>
    <row r="24" ht="32.05" customHeight="1">
      <c r="K24" s="32"/>
      <c r="L24" t="s" s="59">
        <v>72</v>
      </c>
      <c r="M24" s="22">
        <f>(2022-M23)*4</f>
        <v>52</v>
      </c>
      <c r="N24" s="33"/>
      <c r="O24" s="33"/>
      <c r="P24" s="33"/>
      <c r="Q24" s="33"/>
      <c r="R24" s="33"/>
      <c r="S24" s="33"/>
      <c r="T24" s="33"/>
      <c r="U24" s="33"/>
      <c r="V24" s="33"/>
    </row>
    <row r="25" ht="32.05" customHeight="1">
      <c r="K25" s="32"/>
      <c r="L25" t="s" s="59">
        <v>73</v>
      </c>
      <c r="M25" s="19">
        <f>(M20/1000000000)/14</f>
        <v>39.0964285714286</v>
      </c>
      <c r="N25" s="33"/>
      <c r="O25" s="33"/>
      <c r="P25" s="33"/>
      <c r="Q25" s="33"/>
      <c r="R25" s="33"/>
      <c r="S25" s="33"/>
      <c r="T25" s="33"/>
      <c r="U25" s="33"/>
      <c r="V25" s="33"/>
    </row>
    <row r="26" ht="32.05" customHeight="1">
      <c r="K26" s="32"/>
      <c r="L26" t="s" s="59">
        <v>11</v>
      </c>
      <c r="M26" s="19">
        <f>R30</f>
        <v>-24.208</v>
      </c>
      <c r="N26" t="s" s="60">
        <f>R27</f>
        <v>74</v>
      </c>
      <c r="O26" t="s" s="60">
        <f>IF(M26&gt;0,"raised","paid")</f>
        <v>75</v>
      </c>
      <c r="P26" s="33"/>
      <c r="Q26" s="33"/>
      <c r="R26" s="33"/>
      <c r="S26" s="33"/>
      <c r="T26" s="33"/>
      <c r="U26" s="33"/>
      <c r="V26" s="33"/>
    </row>
    <row r="27" ht="32.05" customHeight="1">
      <c r="K27" s="32"/>
      <c r="L27" t="s" s="59">
        <f>L21</f>
        <v>67</v>
      </c>
      <c r="M27" t="s" s="60">
        <v>76</v>
      </c>
      <c r="N27" t="s" s="60">
        <f>IF(Q27&gt;0,"raised","paid")</f>
        <v>75</v>
      </c>
      <c r="O27" t="s" s="60">
        <v>77</v>
      </c>
      <c r="P27" t="s" s="60">
        <v>78</v>
      </c>
      <c r="Q27" s="19">
        <f>AVERAGE(B3:B15)</f>
        <v>-1.86215384615385</v>
      </c>
      <c r="R27" t="s" s="60">
        <v>74</v>
      </c>
      <c r="S27" t="s" s="60">
        <v>79</v>
      </c>
      <c r="T27" s="24">
        <f>Q27/M25</f>
        <v>-0.0476297686053784</v>
      </c>
      <c r="U27" t="s" s="60">
        <v>69</v>
      </c>
      <c r="V27" s="33"/>
    </row>
    <row r="28" ht="32.05" customHeight="1">
      <c r="K28" s="32"/>
      <c r="L28" t="s" s="59">
        <v>80</v>
      </c>
      <c r="M28" t="s" s="60">
        <f>O27</f>
        <v>77</v>
      </c>
      <c r="N28" t="s" s="60">
        <v>81</v>
      </c>
      <c r="O28" t="s" s="60">
        <f>IF(Q28&gt;0,"raised","paid")</f>
        <v>82</v>
      </c>
      <c r="P28" t="s" s="60">
        <v>78</v>
      </c>
      <c r="Q28" s="19">
        <f>AVERAGE(B11:B15)</f>
        <v>0.9784</v>
      </c>
      <c r="R28" t="s" s="60">
        <f>R27</f>
        <v>74</v>
      </c>
      <c r="S28" t="s" s="60">
        <v>79</v>
      </c>
      <c r="T28" s="24">
        <f>Q28/M25</f>
        <v>0.0250253037361834</v>
      </c>
      <c r="U28" t="s" s="60">
        <v>69</v>
      </c>
      <c r="V28" s="33"/>
    </row>
    <row r="29" ht="44.05" customHeight="1">
      <c r="K29" s="32"/>
      <c r="L29" t="s" s="59">
        <v>83</v>
      </c>
      <c r="M29" t="s" s="60">
        <v>84</v>
      </c>
      <c r="N29" s="19">
        <f>MAX(E3:E15)</f>
        <v>-8.199999999999999</v>
      </c>
      <c r="O29" t="s" s="60">
        <f>R28</f>
        <v>74</v>
      </c>
      <c r="P29" t="s" s="60">
        <v>85</v>
      </c>
      <c r="Q29" s="22">
        <f>$A3</f>
        <v>2009</v>
      </c>
      <c r="R29" s="33"/>
      <c r="S29" s="33"/>
      <c r="T29" s="33"/>
      <c r="U29" s="33"/>
      <c r="V29" s="33"/>
    </row>
    <row r="30" ht="32.05" customHeight="1">
      <c r="K30" s="32"/>
      <c r="L30" t="s" s="59">
        <v>86</v>
      </c>
      <c r="M30" t="s" s="60">
        <f>M28</f>
        <v>77</v>
      </c>
      <c r="N30" t="s" s="60">
        <v>87</v>
      </c>
      <c r="O30" t="s" s="60">
        <v>88</v>
      </c>
      <c r="P30" t="s" s="60">
        <f>IF(R30&lt;N29,"down","up")</f>
        <v>89</v>
      </c>
      <c r="Q30" t="s" s="60">
        <v>90</v>
      </c>
      <c r="R30" s="19">
        <f>E15</f>
        <v>-24.208</v>
      </c>
      <c r="S30" t="s" s="60">
        <f>R28</f>
        <v>74</v>
      </c>
      <c r="T30" s="33"/>
      <c r="U30" s="33"/>
      <c r="V30" s="33"/>
    </row>
    <row r="31" ht="32.05" customHeight="1">
      <c r="K31" s="32"/>
      <c r="L31" t="s" s="59">
        <v>14</v>
      </c>
      <c r="M31" s="19">
        <f>R35</f>
        <v>-7.219</v>
      </c>
      <c r="N31" t="s" s="60">
        <f>S30</f>
        <v>74</v>
      </c>
      <c r="O31" t="s" s="60">
        <f>IF(M31&gt;0,"raised","paid")</f>
        <v>75</v>
      </c>
      <c r="P31" s="33"/>
      <c r="Q31" s="33"/>
      <c r="R31" s="33"/>
      <c r="S31" s="33"/>
      <c r="T31" s="33"/>
      <c r="U31" s="33"/>
      <c r="V31" s="33"/>
    </row>
    <row r="32" ht="32.05" customHeight="1">
      <c r="K32" s="32"/>
      <c r="L32" t="s" s="59">
        <f>L27</f>
        <v>67</v>
      </c>
      <c r="M32" t="s" s="60">
        <v>76</v>
      </c>
      <c r="N32" t="s" s="60">
        <f>IF(Q32&gt;0,"raised","paid")</f>
        <v>75</v>
      </c>
      <c r="O32" t="s" s="60">
        <v>91</v>
      </c>
      <c r="P32" t="s" s="60">
        <f>P27</f>
        <v>78</v>
      </c>
      <c r="Q32" s="19">
        <f>AVERAGE(C3:C15)</f>
        <v>-0.5553076923076919</v>
      </c>
      <c r="R32" t="s" s="60">
        <f>R27</f>
        <v>74</v>
      </c>
      <c r="S32" t="s" s="60">
        <f>S27</f>
        <v>79</v>
      </c>
      <c r="T32" s="24">
        <f>Q32/M25</f>
        <v>-0.014203540133932</v>
      </c>
      <c r="U32" t="s" s="60">
        <f>U27</f>
        <v>69</v>
      </c>
      <c r="V32" s="33"/>
    </row>
    <row r="33" ht="32.05" customHeight="1">
      <c r="K33" s="32"/>
      <c r="L33" t="s" s="59">
        <v>80</v>
      </c>
      <c r="M33" t="s" s="60">
        <f>O32</f>
        <v>91</v>
      </c>
      <c r="N33" t="s" s="60">
        <v>92</v>
      </c>
      <c r="O33" t="s" s="60">
        <f>IF(Q33&gt;0,"raised","paid")</f>
        <v>75</v>
      </c>
      <c r="P33" t="s" s="60">
        <v>78</v>
      </c>
      <c r="Q33" s="19">
        <f>AVERAGE(C11:C15)</f>
        <v>-0.0784</v>
      </c>
      <c r="R33" t="s" s="60">
        <f>R32</f>
        <v>74</v>
      </c>
      <c r="S33" t="s" s="60">
        <v>79</v>
      </c>
      <c r="T33" s="24">
        <f>Q33/M25</f>
        <v>-0.00200529825522974</v>
      </c>
      <c r="U33" t="s" s="60">
        <f>U28</f>
        <v>69</v>
      </c>
      <c r="V33" s="33"/>
    </row>
    <row r="34" ht="44.05" customHeight="1">
      <c r="K34" s="32"/>
      <c r="L34" t="s" s="59">
        <v>93</v>
      </c>
      <c r="M34" t="s" s="60">
        <v>84</v>
      </c>
      <c r="N34" s="19">
        <f>MAX(F3:F15)</f>
        <v>-0.237</v>
      </c>
      <c r="O34" t="s" s="60">
        <f>R33</f>
        <v>74</v>
      </c>
      <c r="P34" t="s" s="60">
        <v>85</v>
      </c>
      <c r="Q34" s="22">
        <f>$A3</f>
        <v>2009</v>
      </c>
      <c r="R34" s="33"/>
      <c r="S34" s="33"/>
      <c r="T34" s="33"/>
      <c r="U34" s="33"/>
      <c r="V34" s="33"/>
    </row>
    <row r="35" ht="32.05" customHeight="1">
      <c r="K35" s="32"/>
      <c r="L35" t="s" s="59">
        <v>86</v>
      </c>
      <c r="M35" t="s" s="60">
        <f>M33</f>
        <v>91</v>
      </c>
      <c r="N35" t="s" s="60">
        <v>87</v>
      </c>
      <c r="O35" t="s" s="60">
        <v>94</v>
      </c>
      <c r="P35" t="s" s="60">
        <f>IF(R35&lt;N34,"down","up")</f>
        <v>89</v>
      </c>
      <c r="Q35" t="s" s="60">
        <v>90</v>
      </c>
      <c r="R35" s="19">
        <f>F15</f>
        <v>-7.219</v>
      </c>
      <c r="S35" t="s" s="60">
        <f>R33</f>
        <v>74</v>
      </c>
      <c r="T35" s="33"/>
      <c r="U35" s="33"/>
      <c r="V35" s="33"/>
    </row>
    <row r="36" ht="32.05" customHeight="1">
      <c r="K36" s="32"/>
      <c r="L36" t="s" s="59">
        <v>95</v>
      </c>
      <c r="M36" s="19">
        <f>R40</f>
        <v>-31.427</v>
      </c>
      <c r="N36" t="s" s="60">
        <f>S35</f>
        <v>74</v>
      </c>
      <c r="O36" t="s" s="60">
        <f>IF(M36&gt;0,"raised","paid")</f>
        <v>75</v>
      </c>
      <c r="P36" s="33"/>
      <c r="Q36" s="33"/>
      <c r="R36" s="33"/>
      <c r="S36" s="33"/>
      <c r="T36" s="33"/>
      <c r="U36" s="33"/>
      <c r="V36" s="33"/>
    </row>
    <row r="37" ht="32.05" customHeight="1">
      <c r="K37" s="32"/>
      <c r="L37" t="s" s="59">
        <f>L32</f>
        <v>67</v>
      </c>
      <c r="M37" t="s" s="60">
        <v>76</v>
      </c>
      <c r="N37" t="s" s="60">
        <f>IF(Q37&gt;0,"raised","paid")</f>
        <v>75</v>
      </c>
      <c r="O37" t="s" s="60">
        <v>96</v>
      </c>
      <c r="P37" t="s" s="60">
        <f>P32</f>
        <v>78</v>
      </c>
      <c r="Q37" s="19">
        <f>AVERAGE(D3:D15)</f>
        <v>-2.41746153846154</v>
      </c>
      <c r="R37" t="s" s="60">
        <f>R32</f>
        <v>74</v>
      </c>
      <c r="S37" t="s" s="60">
        <f>S32</f>
        <v>79</v>
      </c>
      <c r="T37" s="24">
        <f>Q37/M25</f>
        <v>-0.0618333087393104</v>
      </c>
      <c r="U37" t="s" s="60">
        <f>U32</f>
        <v>69</v>
      </c>
      <c r="V37" s="33"/>
    </row>
    <row r="38" ht="32.05" customHeight="1">
      <c r="K38" s="32"/>
      <c r="L38" t="s" s="59">
        <v>80</v>
      </c>
      <c r="M38" t="s" s="60">
        <f>O37</f>
        <v>96</v>
      </c>
      <c r="N38" t="s" s="60">
        <v>92</v>
      </c>
      <c r="O38" t="s" s="60">
        <f>IF(Q38&gt;0,"raised","paid")</f>
        <v>82</v>
      </c>
      <c r="P38" t="s" s="60">
        <v>78</v>
      </c>
      <c r="Q38" s="19">
        <f>AVERAGE(D11:D15)</f>
        <v>0.9</v>
      </c>
      <c r="R38" t="s" s="60">
        <f>R37</f>
        <v>74</v>
      </c>
      <c r="S38" t="s" s="60">
        <v>79</v>
      </c>
      <c r="T38" s="24">
        <f>Q38/M25</f>
        <v>0.0230200054809537</v>
      </c>
      <c r="U38" t="s" s="60">
        <f>U33</f>
        <v>69</v>
      </c>
      <c r="V38" s="33"/>
    </row>
    <row r="39" ht="44.05" customHeight="1">
      <c r="K39" s="32"/>
      <c r="L39" t="s" s="59">
        <v>97</v>
      </c>
      <c r="M39" t="s" s="60">
        <v>84</v>
      </c>
      <c r="N39" s="19">
        <f>MAX(G3:G15)</f>
        <v>-8.436999999999999</v>
      </c>
      <c r="O39" t="s" s="60">
        <f>R38</f>
        <v>74</v>
      </c>
      <c r="P39" t="s" s="60">
        <v>85</v>
      </c>
      <c r="Q39" s="22">
        <f>$A3</f>
        <v>2009</v>
      </c>
      <c r="R39" s="33"/>
      <c r="S39" s="33"/>
      <c r="T39" s="33"/>
      <c r="U39" s="33"/>
      <c r="V39" s="33"/>
    </row>
    <row r="40" ht="32.05" customHeight="1">
      <c r="K40" s="32"/>
      <c r="L40" t="s" s="59">
        <v>86</v>
      </c>
      <c r="M40" t="s" s="60">
        <f>M38</f>
        <v>96</v>
      </c>
      <c r="N40" t="s" s="60">
        <v>87</v>
      </c>
      <c r="O40" t="s" s="60">
        <v>94</v>
      </c>
      <c r="P40" t="s" s="60">
        <f>IF(R40&lt;N39,"down","up")</f>
        <v>89</v>
      </c>
      <c r="Q40" t="s" s="60">
        <v>90</v>
      </c>
      <c r="R40" s="22">
        <f>G15</f>
        <v>-31.427</v>
      </c>
      <c r="S40" t="s" s="60">
        <f>R38</f>
        <v>74</v>
      </c>
      <c r="T40" s="24">
        <v>-0.0595928359967893</v>
      </c>
      <c r="U40" t="s" s="60">
        <f>U38</f>
        <v>69</v>
      </c>
      <c r="V40" t="s" s="60">
        <v>70</v>
      </c>
    </row>
  </sheetData>
  <mergeCells count="2">
    <mergeCell ref="A1:J1"/>
    <mergeCell ref="K18:V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