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" sheetId="5" r:id="rId8"/>
  </sheets>
</workbook>
</file>

<file path=xl/sharedStrings.xml><?xml version="1.0" encoding="utf-8"?>
<sst xmlns="http://schemas.openxmlformats.org/spreadsheetml/2006/main" uniqueCount="59">
  <si>
    <t>Financial model</t>
  </si>
  <si>
    <t>Rpbn</t>
  </si>
  <si>
    <t>4Q 2021</t>
  </si>
  <si>
    <t>Cashflow</t>
  </si>
  <si>
    <t>Growth</t>
  </si>
  <si>
    <t>Sales</t>
  </si>
  <si>
    <t>Cost ratio</t>
  </si>
  <si>
    <t>Cash costs</t>
  </si>
  <si>
    <t xml:space="preserve">Operating </t>
  </si>
  <si>
    <t xml:space="preserve">Investment </t>
  </si>
  <si>
    <t>Leases</t>
  </si>
  <si>
    <t xml:space="preserve">Finance </t>
  </si>
  <si>
    <t xml:space="preserve">Liabilities </t>
  </si>
  <si>
    <t xml:space="preserve">Equity </t>
  </si>
  <si>
    <t xml:space="preserve">Before revolver </t>
  </si>
  <si>
    <t xml:space="preserve">Revolver </t>
  </si>
  <si>
    <t>Beginning</t>
  </si>
  <si>
    <t xml:space="preserve">Change </t>
  </si>
  <si>
    <t xml:space="preserve">Ending </t>
  </si>
  <si>
    <t xml:space="preserve">Profit 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</si>
  <si>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</si>
  <si>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</si>
  <si>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</si>
  <si>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</si>
  <si>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</si>
  <si>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</si>
  <si>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>Check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</si>
  <si>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</si>
  <si>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</si>
  <si>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</si>
  <si>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</si>
  <si>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</si>
  <si>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</si>
  <si>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</si>
  <si>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</si>
  <si>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</si>
  <si>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</si>
  <si>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</si>
  <si>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</si>
  <si>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</si>
  <si>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</si>
  <si>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</si>
  <si>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>FX gain</t>
  </si>
  <si>
    <t xml:space="preserve">Net income </t>
  </si>
  <si>
    <t xml:space="preserve">Sales growth </t>
  </si>
  <si>
    <t xml:space="preserve">Cost ratio </t>
  </si>
  <si>
    <t>Cashflow costs</t>
  </si>
  <si>
    <t xml:space="preserve">Receipts </t>
  </si>
  <si>
    <t>Capex</t>
  </si>
  <si>
    <t>Finance</t>
  </si>
  <si>
    <t xml:space="preserve">Free cashflow </t>
  </si>
  <si>
    <t>Balance sheet</t>
  </si>
  <si>
    <t xml:space="preserve">  Cash</t>
  </si>
  <si>
    <t>Assetd</t>
  </si>
  <si>
    <t>Other asset</t>
  </si>
  <si>
    <t xml:space="preserve">Check </t>
  </si>
  <si>
    <t>Share price</t>
  </si>
  <si>
    <t>Date</t>
  </si>
  <si>
    <t>FREN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</si>
</sst>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center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horizontal="left" vertical="center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horizontal="left" vertical="center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horizontal="right" vertical="center"/>
    </xf>
    <xf numFmtId="3" fontId="0" borderId="7" applyNumberFormat="1" applyFont="1" applyFill="0" applyBorder="1" applyAlignment="1" applyProtection="0">
      <alignment horizontal="right" vertical="center"/>
    </xf>
    <xf numFmtId="49" fontId="2" fillId="3" borderId="5" applyNumberFormat="1" applyFont="1" applyFill="1" applyBorder="1" applyAlignment="1" applyProtection="0">
      <alignment horizontal="left" vertical="center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0" fontId="2" fillId="4" borderId="2" applyNumberFormat="1" applyFont="1" applyFill="1" applyBorder="1" applyAlignment="1" applyProtection="0">
      <alignment vertical="top"/>
    </xf>
    <xf numFmtId="0" fontId="0" borderId="3" applyNumberFormat="1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0" fontId="0" borderId="6" applyNumberFormat="1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2" fillId="4" borderId="5" applyNumberFormat="1" applyFont="1" applyFill="1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753189</xdr:colOff>
      <xdr:row>1</xdr:row>
      <xdr:rowOff>308818</xdr:rowOff>
    </xdr:from>
    <xdr:to>
      <xdr:col>13</xdr:col>
      <xdr:colOff>673913</xdr:colOff>
      <xdr:row>47</xdr:row>
      <xdr:rowOff>8805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61689" y="960963"/>
          <a:ext cx="8632925" cy="115147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7578" style="1" customWidth="1"/>
    <col min="2" max="2" width="14.9766" style="1" customWidth="1"/>
    <col min="3" max="6" width="8.35156" style="1" customWidth="1"/>
    <col min="7" max="16384" width="16.3516" style="1" customWidth="1"/>
  </cols>
  <sheetData>
    <row r="1" ht="51.3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6"/>
      <c r="F3" s="6"/>
    </row>
    <row r="4" ht="20.25" customHeight="1">
      <c r="B4" t="s" s="7">
        <v>3</v>
      </c>
      <c r="C4" s="8">
        <f>AVERAGE('Sales'!H27:H30)</f>
        <v>0.0154349146679779</v>
      </c>
      <c r="D4" s="9"/>
      <c r="E4" s="9"/>
      <c r="F4" s="10">
        <f>AVERAGE(C5:F5)</f>
        <v>0.065</v>
      </c>
    </row>
    <row r="5" ht="20.05" customHeight="1">
      <c r="B5" t="s" s="11">
        <v>4</v>
      </c>
      <c r="C5" s="12">
        <v>0.1</v>
      </c>
      <c r="D5" s="13">
        <v>-0.01</v>
      </c>
      <c r="E5" s="13">
        <v>0.11</v>
      </c>
      <c r="F5" s="13">
        <v>0.06</v>
      </c>
    </row>
    <row r="6" ht="20.05" customHeight="1">
      <c r="B6" t="s" s="11">
        <v>5</v>
      </c>
      <c r="C6" s="14">
        <f>'Sales'!C30*(1+C5)</f>
        <v>2960.1</v>
      </c>
      <c r="D6" s="15">
        <f>C6*(1+D5)</f>
        <v>2930.499</v>
      </c>
      <c r="E6" s="15">
        <f>D6*(1+E5)</f>
        <v>3252.85389</v>
      </c>
      <c r="F6" s="15">
        <f>E6*(1+F5)</f>
        <v>3448.0251234</v>
      </c>
    </row>
    <row r="7" ht="20.05" customHeight="1">
      <c r="B7" t="s" s="11">
        <v>6</v>
      </c>
      <c r="C7" s="16">
        <f>AVERAGE('Sales'!I30)</f>
        <v>-0.65570419918246</v>
      </c>
      <c r="D7" s="17">
        <f>C7</f>
        <v>-0.65570419918246</v>
      </c>
      <c r="E7" s="17">
        <f>D7</f>
        <v>-0.65570419918246</v>
      </c>
      <c r="F7" s="17">
        <f>E7</f>
        <v>-0.65570419918246</v>
      </c>
    </row>
    <row r="8" ht="20.05" customHeight="1">
      <c r="B8" t="s" s="11">
        <v>7</v>
      </c>
      <c r="C8" s="18">
        <f>C6*C7</f>
        <v>-1940.95</v>
      </c>
      <c r="D8" s="19">
        <f>D6*D7</f>
        <v>-1921.5405</v>
      </c>
      <c r="E8" s="19">
        <f>E6*E7</f>
        <v>-2132.909955</v>
      </c>
      <c r="F8" s="19">
        <f>F6*F7</f>
        <v>-2260.8845523</v>
      </c>
    </row>
    <row r="9" ht="20.05" customHeight="1">
      <c r="B9" t="s" s="11">
        <v>8</v>
      </c>
      <c r="C9" s="20">
        <f>C6+C8</f>
        <v>1019.15</v>
      </c>
      <c r="D9" s="21">
        <f>D6+D8</f>
        <v>1008.9585</v>
      </c>
      <c r="E9" s="21">
        <f>E6+E8</f>
        <v>1119.943935</v>
      </c>
      <c r="F9" s="21">
        <f>F6+F8</f>
        <v>1187.1405711</v>
      </c>
    </row>
    <row r="10" ht="20.05" customHeight="1">
      <c r="B10" t="s" s="11">
        <v>9</v>
      </c>
      <c r="C10" s="18">
        <f>AVERAGE('Cashflow'!E30)</f>
        <v>-328.1</v>
      </c>
      <c r="D10" s="21">
        <f>C10</f>
        <v>-328.1</v>
      </c>
      <c r="E10" s="21">
        <f>D10</f>
        <v>-328.1</v>
      </c>
      <c r="F10" s="21">
        <f>E10</f>
        <v>-328.1</v>
      </c>
    </row>
    <row r="11" ht="20.05" customHeight="1">
      <c r="B11" t="s" s="11">
        <v>10</v>
      </c>
      <c r="C11" s="20">
        <f>AVERAGE('Cashflow'!F28:F30)</f>
        <v>-362.566666666667</v>
      </c>
      <c r="D11" s="21">
        <f>C11</f>
        <v>-362.566666666667</v>
      </c>
      <c r="E11" s="21">
        <f>D11</f>
        <v>-362.566666666667</v>
      </c>
      <c r="F11" s="21">
        <f>E11</f>
        <v>-362.566666666667</v>
      </c>
    </row>
    <row r="12" ht="20.05" customHeight="1">
      <c r="B12" t="s" s="11">
        <v>11</v>
      </c>
      <c r="C12" s="20">
        <f>C13+C14+C16</f>
        <v>-328.483333333330</v>
      </c>
      <c r="D12" s="21">
        <f>D13+D14+D16</f>
        <v>-318.291833333330</v>
      </c>
      <c r="E12" s="21">
        <f>E13+E14+E16</f>
        <v>-429.277268333333</v>
      </c>
      <c r="F12" s="21">
        <f>F13+F14+F16</f>
        <v>-496.473904433333</v>
      </c>
    </row>
    <row r="13" ht="20.05" customHeight="1">
      <c r="B13" t="s" s="11">
        <v>12</v>
      </c>
      <c r="C13" s="20">
        <f>-('Balance Sheet '!G30)/20</f>
        <v>-1455.55</v>
      </c>
      <c r="D13" s="21">
        <f>-C27/20</f>
        <v>-1364.644166666670</v>
      </c>
      <c r="E13" s="21">
        <f>-D27/20</f>
        <v>-1278.283625</v>
      </c>
      <c r="F13" s="21">
        <f>-E27/20</f>
        <v>-1196.241110416670</v>
      </c>
    </row>
    <row r="14" ht="20.05" customHeight="1">
      <c r="B14" t="s" s="11">
        <v>13</v>
      </c>
      <c r="C14" s="18">
        <f>IF(C22&gt;0,-C22*0.2,0)</f>
        <v>-11.49</v>
      </c>
      <c r="D14" s="19">
        <f>IF(D22&gt;0,-D22*0.2,0)</f>
        <v>-9.451700000000001</v>
      </c>
      <c r="E14" s="19">
        <f>IF(E22&gt;0,-E22*0.2,0)</f>
        <v>-31.648787</v>
      </c>
      <c r="F14" s="19">
        <f>IF(F22&gt;0,-F22*0.2,0)</f>
        <v>-45.08811422</v>
      </c>
    </row>
    <row r="15" ht="20.05" customHeight="1">
      <c r="B15" t="s" s="11">
        <v>14</v>
      </c>
      <c r="C15" s="20">
        <f>C9+C10+C13+C14+C11</f>
        <v>-1138.556666666670</v>
      </c>
      <c r="D15" s="21">
        <f>D9+D10+D13+D14+D11</f>
        <v>-1055.804033333340</v>
      </c>
      <c r="E15" s="21">
        <f>E9+E10+E13+E14+E11</f>
        <v>-880.655143666667</v>
      </c>
      <c r="F15" s="21">
        <f>F9+F10+F13+F14+F11</f>
        <v>-744.855320203337</v>
      </c>
    </row>
    <row r="16" ht="20.05" customHeight="1">
      <c r="B16" t="s" s="11">
        <v>15</v>
      </c>
      <c r="C16" s="20">
        <f>-MIN(0,C15)</f>
        <v>1138.556666666670</v>
      </c>
      <c r="D16" s="21">
        <f>-MIN(C28,D15)</f>
        <v>1055.804033333340</v>
      </c>
      <c r="E16" s="21">
        <f>-MIN(D28,E15)</f>
        <v>880.655143666667</v>
      </c>
      <c r="F16" s="21">
        <f>-MIN(E28,F15)</f>
        <v>744.855320203337</v>
      </c>
    </row>
    <row r="17" ht="20.05" customHeight="1">
      <c r="B17" t="s" s="11">
        <v>16</v>
      </c>
      <c r="C17" s="20">
        <f>'Balance Sheet '!C30</f>
        <v>879</v>
      </c>
      <c r="D17" s="21">
        <f>C19</f>
        <v>879.000000000003</v>
      </c>
      <c r="E17" s="21">
        <f>D19</f>
        <v>879.000000000006</v>
      </c>
      <c r="F17" s="21">
        <f>E19</f>
        <v>879.000000000006</v>
      </c>
    </row>
    <row r="18" ht="20.05" customHeight="1">
      <c r="B18" t="s" s="11">
        <v>17</v>
      </c>
      <c r="C18" s="20">
        <f>C9+C10+C11+C12</f>
        <v>3e-12</v>
      </c>
      <c r="D18" s="21">
        <f>D9+D10+D11+D12</f>
        <v>3e-12</v>
      </c>
      <c r="E18" s="21">
        <f>E9+E10+E11+E12</f>
        <v>0</v>
      </c>
      <c r="F18" s="21">
        <f>F9+F10+F11+F12</f>
        <v>0</v>
      </c>
    </row>
    <row r="19" ht="20.05" customHeight="1">
      <c r="B19" t="s" s="11">
        <v>18</v>
      </c>
      <c r="C19" s="20">
        <f>C17+C18</f>
        <v>879.000000000003</v>
      </c>
      <c r="D19" s="21">
        <f>D17+D18</f>
        <v>879.000000000006</v>
      </c>
      <c r="E19" s="21">
        <f>E17+E18</f>
        <v>879.000000000006</v>
      </c>
      <c r="F19" s="21">
        <f>F17+F18</f>
        <v>879.000000000006</v>
      </c>
    </row>
    <row r="20" ht="20.05" customHeight="1">
      <c r="B20" t="s" s="22">
        <v>19</v>
      </c>
      <c r="C20" s="23"/>
      <c r="D20" s="24"/>
      <c r="E20" s="24"/>
      <c r="F20" s="25"/>
    </row>
    <row r="21" ht="20.05" customHeight="1">
      <c r="B21" t="s" s="11">
        <v>20</v>
      </c>
      <c r="C21" s="20">
        <f>-AVERAGE('Sales'!E30)</f>
        <v>-961.7</v>
      </c>
      <c r="D21" s="21">
        <f>C21</f>
        <v>-961.7</v>
      </c>
      <c r="E21" s="21">
        <f>D21</f>
        <v>-961.7</v>
      </c>
      <c r="F21" s="21">
        <f>E21</f>
        <v>-961.7</v>
      </c>
    </row>
    <row r="22" ht="20.05" customHeight="1">
      <c r="B22" t="s" s="11">
        <v>21</v>
      </c>
      <c r="C22" s="18">
        <f>C6+C8+C21</f>
        <v>57.45</v>
      </c>
      <c r="D22" s="19">
        <f>D6+D8+D21</f>
        <v>47.2585</v>
      </c>
      <c r="E22" s="19">
        <f>E6+E8+E21</f>
        <v>158.243935</v>
      </c>
      <c r="F22" s="19">
        <f>F6+F8+F21</f>
        <v>225.4405711</v>
      </c>
    </row>
    <row r="23" ht="20.05" customHeight="1">
      <c r="B23" t="s" s="22">
        <v>22</v>
      </c>
      <c r="C23" s="23"/>
      <c r="D23" s="24"/>
      <c r="E23" s="24"/>
      <c r="F23" s="24"/>
    </row>
    <row r="24" ht="20.05" customHeight="1">
      <c r="B24" t="s" s="11">
        <v>23</v>
      </c>
      <c r="C24" s="20">
        <f>'Balance Sheet '!E30+'Balance Sheet '!F30-C10</f>
        <v>64472.1</v>
      </c>
      <c r="D24" s="21">
        <f>C24-D10</f>
        <v>64800.2</v>
      </c>
      <c r="E24" s="21">
        <f>D24-E10</f>
        <v>65128.3</v>
      </c>
      <c r="F24" s="21">
        <f>E24-F10</f>
        <v>65456.4</v>
      </c>
    </row>
    <row r="25" ht="20.05" customHeight="1">
      <c r="B25" t="s" s="11">
        <v>24</v>
      </c>
      <c r="C25" s="20">
        <f>'Balance Sheet '!F30-C21</f>
        <v>24254.7</v>
      </c>
      <c r="D25" s="21">
        <f>C25-D21</f>
        <v>25216.4</v>
      </c>
      <c r="E25" s="21">
        <f>D25-E21</f>
        <v>26178.1</v>
      </c>
      <c r="F25" s="21">
        <f>E25-F21</f>
        <v>27139.8</v>
      </c>
    </row>
    <row r="26" ht="20.05" customHeight="1">
      <c r="B26" t="s" s="11">
        <v>25</v>
      </c>
      <c r="C26" s="20">
        <f>C24-C25</f>
        <v>40217.4</v>
      </c>
      <c r="D26" s="21">
        <f>D24-D25</f>
        <v>39583.8</v>
      </c>
      <c r="E26" s="21">
        <f>E24-E25</f>
        <v>38950.2</v>
      </c>
      <c r="F26" s="21">
        <f>F24-F25</f>
        <v>38316.6</v>
      </c>
    </row>
    <row r="27" ht="20.05" customHeight="1">
      <c r="B27" t="s" s="11">
        <v>12</v>
      </c>
      <c r="C27" s="20">
        <f>'Balance Sheet '!G30+C13+C11</f>
        <v>27292.8833333333</v>
      </c>
      <c r="D27" s="21">
        <f>C27+D13+D11</f>
        <v>25565.6725</v>
      </c>
      <c r="E27" s="21">
        <f>D27+E13+E11</f>
        <v>23924.8222083333</v>
      </c>
      <c r="F27" s="21">
        <f>E27+F13+F11</f>
        <v>22366.01443125</v>
      </c>
    </row>
    <row r="28" ht="20.05" customHeight="1">
      <c r="B28" t="s" s="11">
        <v>15</v>
      </c>
      <c r="C28" s="20">
        <f>C16</f>
        <v>1138.556666666670</v>
      </c>
      <c r="D28" s="21">
        <f>C28+D16</f>
        <v>2194.360700000010</v>
      </c>
      <c r="E28" s="21">
        <f>D28+E16</f>
        <v>3075.015843666680</v>
      </c>
      <c r="F28" s="21">
        <f>E28+F16</f>
        <v>3819.871163870020</v>
      </c>
    </row>
    <row r="29" ht="20.05" customHeight="1">
      <c r="B29" t="s" s="11">
        <v>13</v>
      </c>
      <c r="C29" s="20">
        <f>'Balance Sheet '!H30+C22+C14</f>
        <v>12664.96</v>
      </c>
      <c r="D29" s="21">
        <f>C29+D22+D14</f>
        <v>12702.7668</v>
      </c>
      <c r="E29" s="21">
        <f>D29+E22+E14</f>
        <v>12829.361948</v>
      </c>
      <c r="F29" s="21">
        <f>E29+F22+F14</f>
        <v>13009.71440488</v>
      </c>
    </row>
    <row r="30" ht="20.05" customHeight="1">
      <c r="B30" t="s" s="11">
        <v>26</v>
      </c>
      <c r="C30" s="18">
        <f>C27+C28+C29-C19-C26</f>
        <v>-3.3e-11</v>
      </c>
      <c r="D30" s="19">
        <f>D27+D28+D29-D19-D26</f>
        <v>4e-12</v>
      </c>
      <c r="E30" s="19">
        <f>E27+E28+E29-E19-E26</f>
        <v>-2.6e-11</v>
      </c>
      <c r="F30" s="19">
        <f>F27+F28+F29-F19-F26</f>
        <v>1.4e-11</v>
      </c>
    </row>
    <row r="31" ht="20.05" customHeight="1">
      <c r="B31" t="s" s="11">
        <v>27</v>
      </c>
      <c r="C31" s="18">
        <f>C19-C27-C28</f>
        <v>-27552.44</v>
      </c>
      <c r="D31" s="19">
        <f>D19-D27-D28</f>
        <v>-26881.0332</v>
      </c>
      <c r="E31" s="19">
        <f>E19-E27-E28</f>
        <v>-26120.838052</v>
      </c>
      <c r="F31" s="19">
        <f>F19-F27-F28</f>
        <v>-25306.88559512</v>
      </c>
    </row>
    <row r="32" ht="20.05" customHeight="1">
      <c r="B32" t="s" s="22">
        <v>28</v>
      </c>
      <c r="C32" s="18"/>
      <c r="D32" s="19"/>
      <c r="E32" s="19"/>
      <c r="F32" s="19"/>
    </row>
    <row r="33" ht="20.05" customHeight="1">
      <c r="B33" t="s" s="11">
        <v>29</v>
      </c>
      <c r="C33" s="18">
        <f>'Cashflow'!L30-(C12-C11)</f>
        <v>-24790.3753333333</v>
      </c>
      <c r="D33" s="19">
        <f>C33-(D12-D11)</f>
        <v>-24834.6501666666</v>
      </c>
      <c r="E33" s="19">
        <f>D33-(E12-E11)</f>
        <v>-24767.9395649999</v>
      </c>
      <c r="F33" s="19">
        <f>E33-(F12-F11)</f>
        <v>-24634.0323272332</v>
      </c>
    </row>
    <row r="34" ht="20.05" customHeight="1">
      <c r="B34" t="s" s="11">
        <v>30</v>
      </c>
      <c r="C34" s="18"/>
      <c r="D34" s="19"/>
      <c r="E34" s="19"/>
      <c r="F34" s="19">
        <v>31420</v>
      </c>
    </row>
    <row r="35" ht="20.05" customHeight="1">
      <c r="B35" t="s" s="11">
        <v>31</v>
      </c>
      <c r="C35" s="18"/>
      <c r="D35" s="19"/>
      <c r="E35" s="19"/>
      <c r="F35" s="26">
        <f>F34/(F19+F26)</f>
        <v>0.801620590066232</v>
      </c>
    </row>
    <row r="36" ht="20.05" customHeight="1">
      <c r="B36" t="s" s="11">
        <v>32</v>
      </c>
      <c r="C36" s="18"/>
      <c r="D36" s="19"/>
      <c r="E36" s="19"/>
      <c r="F36" s="17">
        <f>-(C14+D14+E14+F14)/F34</f>
        <v>0.00310880334882241</v>
      </c>
    </row>
    <row r="37" ht="20.05" customHeight="1">
      <c r="B37" t="s" s="11">
        <v>3</v>
      </c>
      <c r="C37" s="18"/>
      <c r="D37" s="19"/>
      <c r="E37" s="19"/>
      <c r="F37" s="19">
        <f>SUM(C9:F11)</f>
        <v>1572.526339433330</v>
      </c>
    </row>
    <row r="38" ht="20.05" customHeight="1">
      <c r="B38" t="s" s="11">
        <v>33</v>
      </c>
      <c r="C38" s="18"/>
      <c r="D38" s="19"/>
      <c r="E38" s="19"/>
      <c r="F38" s="19">
        <f>'Balance Sheet '!E30/F37</f>
        <v>25.9779432468654</v>
      </c>
    </row>
    <row r="39" ht="20.05" customHeight="1">
      <c r="B39" t="s" s="11">
        <v>28</v>
      </c>
      <c r="C39" s="18"/>
      <c r="D39" s="19"/>
      <c r="E39" s="19"/>
      <c r="F39" s="19">
        <f>F34/F37</f>
        <v>19.9805874229887</v>
      </c>
    </row>
    <row r="40" ht="20.05" customHeight="1">
      <c r="B40" t="s" s="11">
        <v>34</v>
      </c>
      <c r="C40" s="18"/>
      <c r="D40" s="19"/>
      <c r="E40" s="19"/>
      <c r="F40" s="19">
        <v>27</v>
      </c>
    </row>
    <row r="41" ht="20.05" customHeight="1">
      <c r="B41" t="s" s="11">
        <v>35</v>
      </c>
      <c r="C41" s="18"/>
      <c r="D41" s="19"/>
      <c r="E41" s="19"/>
      <c r="F41" s="19">
        <f>F37*F40</f>
        <v>42458.2111646999</v>
      </c>
    </row>
    <row r="42" ht="20.05" customHeight="1">
      <c r="B42" t="s" s="11">
        <v>36</v>
      </c>
      <c r="C42" s="18"/>
      <c r="D42" s="19"/>
      <c r="E42" s="19"/>
      <c r="F42" s="19">
        <f>F34/F44</f>
        <v>308.039215686275</v>
      </c>
    </row>
    <row r="43" ht="20.05" customHeight="1">
      <c r="B43" t="s" s="11">
        <v>37</v>
      </c>
      <c r="C43" s="18"/>
      <c r="D43" s="19"/>
      <c r="E43" s="19"/>
      <c r="F43" s="19">
        <f>F41/F42</f>
        <v>137.833785448739</v>
      </c>
    </row>
    <row r="44" ht="20.05" customHeight="1">
      <c r="B44" t="s" s="11">
        <v>38</v>
      </c>
      <c r="C44" s="18"/>
      <c r="D44" s="19"/>
      <c r="E44" s="19"/>
      <c r="F44" s="19">
        <f>'Share price'!C98</f>
        <v>102</v>
      </c>
    </row>
    <row r="45" ht="20.05" customHeight="1">
      <c r="B45" t="s" s="11">
        <v>39</v>
      </c>
      <c r="C45" s="18"/>
      <c r="D45" s="19"/>
      <c r="E45" s="19"/>
      <c r="F45" s="17">
        <f>F43/F44-1</f>
        <v>0.351311622046461</v>
      </c>
    </row>
    <row r="46" ht="20.05" customHeight="1">
      <c r="B46" t="s" s="11">
        <v>40</v>
      </c>
      <c r="C46" s="18"/>
      <c r="D46" s="19"/>
      <c r="E46" s="19"/>
      <c r="F46" s="17">
        <f>'Sales'!C30/'Sales'!C26-1</f>
        <v>0.0582197841090073</v>
      </c>
    </row>
    <row r="47" ht="20.05" customHeight="1">
      <c r="B47" t="s" s="11">
        <v>41</v>
      </c>
      <c r="C47" s="18"/>
      <c r="D47" s="19"/>
      <c r="E47" s="19"/>
      <c r="F47" s="17">
        <f>('Sales'!D24+'Sales'!D30+'Sales'!D25+'Sales'!D26+'Sales'!D27+'Sales'!D28+'Sales'!D29)/('Sales'!C24+'Sales'!C25+'Sales'!C26+'Sales'!C27+'Sales'!C28+'Sales'!C30+'Sales'!C29)-1</f>
        <v>0.0189694367708902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34375" style="27" customWidth="1"/>
    <col min="2" max="2" width="9.39062" style="27" customWidth="1"/>
    <col min="3" max="11" width="10.5547" style="27" customWidth="1"/>
    <col min="12" max="16384" width="16.3516" style="27" customWidth="1"/>
  </cols>
  <sheetData>
    <row r="1" ht="37.4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</v>
      </c>
      <c r="D3" t="s" s="4">
        <v>34</v>
      </c>
      <c r="E3" t="s" s="4">
        <v>24</v>
      </c>
      <c r="F3" t="s" s="4">
        <v>42</v>
      </c>
      <c r="G3" t="s" s="4">
        <v>43</v>
      </c>
      <c r="H3" t="s" s="4">
        <v>44</v>
      </c>
      <c r="I3" t="s" s="4">
        <v>45</v>
      </c>
      <c r="J3" t="s" s="4">
        <v>46</v>
      </c>
      <c r="K3" t="s" s="4">
        <v>46</v>
      </c>
    </row>
    <row r="4" ht="20.25" customHeight="1">
      <c r="B4" s="28">
        <v>2015</v>
      </c>
      <c r="C4" s="29">
        <v>748</v>
      </c>
      <c r="D4" s="30"/>
      <c r="E4" s="31">
        <v>326</v>
      </c>
      <c r="F4" s="31"/>
      <c r="G4" s="31">
        <v>-551</v>
      </c>
      <c r="H4" s="10"/>
      <c r="I4" s="32">
        <f>(E4+G4-F4-C4)/C4</f>
        <v>-1.30080213903743</v>
      </c>
      <c r="J4" s="32"/>
      <c r="K4" s="32">
        <f>('Cashflow'!D4-'Cashflow'!B4)/'Cashflow'!B4</f>
        <v>-0.904320987654321</v>
      </c>
    </row>
    <row r="5" ht="20.05" customHeight="1">
      <c r="B5" s="33"/>
      <c r="C5" s="18">
        <v>771</v>
      </c>
      <c r="D5" s="24"/>
      <c r="E5" s="19">
        <v>323</v>
      </c>
      <c r="F5" s="19"/>
      <c r="G5" s="19">
        <v>-265</v>
      </c>
      <c r="H5" s="17">
        <f>C5/C4-1</f>
        <v>0.0307486631016043</v>
      </c>
      <c r="I5" s="17">
        <f>(E5+G5-F5-C5)/C5</f>
        <v>-0.924773022049287</v>
      </c>
      <c r="J5" s="17"/>
      <c r="K5" s="17">
        <f>('Cashflow'!D5-'Cashflow'!B5)/'Cashflow'!B5</f>
        <v>-1.34965719882468</v>
      </c>
    </row>
    <row r="6" ht="20.05" customHeight="1">
      <c r="B6" s="33"/>
      <c r="C6" s="18">
        <v>755</v>
      </c>
      <c r="D6" s="24"/>
      <c r="E6" s="19">
        <v>331</v>
      </c>
      <c r="F6" s="19"/>
      <c r="G6" s="19">
        <v>-525</v>
      </c>
      <c r="H6" s="17">
        <f>C6/C5-1</f>
        <v>-0.0207522697795071</v>
      </c>
      <c r="I6" s="17">
        <f>(E6+G6-F6-C6)/C6</f>
        <v>-1.25695364238411</v>
      </c>
      <c r="J6" s="17"/>
      <c r="K6" s="17">
        <f>('Cashflow'!D6-'Cashflow'!B6)/'Cashflow'!B6</f>
        <v>-0.9101796407185631</v>
      </c>
    </row>
    <row r="7" ht="20.05" customHeight="1">
      <c r="B7" s="33"/>
      <c r="C7" s="18">
        <v>752</v>
      </c>
      <c r="D7" s="24"/>
      <c r="E7" s="19">
        <v>560</v>
      </c>
      <c r="F7" s="19"/>
      <c r="G7" s="19">
        <v>-224</v>
      </c>
      <c r="H7" s="17">
        <f>C7/C6-1</f>
        <v>-0.00397350993377483</v>
      </c>
      <c r="I7" s="17">
        <f>(E7+G7-F7-C7)/C7</f>
        <v>-0.553191489361702</v>
      </c>
      <c r="J7" s="17"/>
      <c r="K7" s="17">
        <f>('Cashflow'!D7-'Cashflow'!B7)/'Cashflow'!B7</f>
        <v>-2.39949537426409</v>
      </c>
    </row>
    <row r="8" ht="20.05" customHeight="1">
      <c r="B8" s="34">
        <v>2016</v>
      </c>
      <c r="C8" s="18">
        <v>752</v>
      </c>
      <c r="D8" s="24"/>
      <c r="E8" s="19">
        <v>533</v>
      </c>
      <c r="F8" s="19">
        <v>251</v>
      </c>
      <c r="G8" s="19">
        <v>-266</v>
      </c>
      <c r="H8" s="17">
        <f>C8/C7-1</f>
        <v>0</v>
      </c>
      <c r="I8" s="17">
        <f>(E8+G8-F8-C8)/C8</f>
        <v>-0.978723404255319</v>
      </c>
      <c r="J8" s="17">
        <f>AVERAGE(K5:K8)</f>
        <v>-1.45203217817831</v>
      </c>
      <c r="K8" s="17">
        <f>('Cashflow'!D8-'Cashflow'!B8)/'Cashflow'!B8</f>
        <v>-1.14879649890591</v>
      </c>
    </row>
    <row r="9" ht="20.05" customHeight="1">
      <c r="B9" s="33"/>
      <c r="C9" s="18">
        <v>831</v>
      </c>
      <c r="D9" s="24"/>
      <c r="E9" s="19">
        <v>542</v>
      </c>
      <c r="F9" s="19">
        <v>135</v>
      </c>
      <c r="G9" s="19">
        <v>-402</v>
      </c>
      <c r="H9" s="17">
        <f>C9/C8-1</f>
        <v>0.105053191489362</v>
      </c>
      <c r="I9" s="17">
        <f>(E9+G9-F9-C9)/C9</f>
        <v>-0.993983152827918</v>
      </c>
      <c r="J9" s="17">
        <f>AVERAGE(K6:K9)</f>
        <v>-1.35284502528655</v>
      </c>
      <c r="K9" s="17">
        <f>('Cashflow'!D9-'Cashflow'!B9)/'Cashflow'!B9</f>
        <v>-0.952908587257618</v>
      </c>
    </row>
    <row r="10" ht="20.05" customHeight="1">
      <c r="B10" s="33"/>
      <c r="C10" s="18">
        <v>1009</v>
      </c>
      <c r="D10" s="24"/>
      <c r="E10" s="19">
        <v>570</v>
      </c>
      <c r="F10" s="19">
        <v>20</v>
      </c>
      <c r="G10" s="19">
        <v>-617</v>
      </c>
      <c r="H10" s="17">
        <f>C10/C9-1</f>
        <v>0.214199759326113</v>
      </c>
      <c r="I10" s="17">
        <f>(E10+G10-F10-C10)/C10</f>
        <v>-1.06640237859267</v>
      </c>
      <c r="J10" s="17">
        <f>AVERAGE(K7:K10)</f>
        <v>-1.50809521532962</v>
      </c>
      <c r="K10" s="17">
        <f>('Cashflow'!D10-'Cashflow'!B10)/'Cashflow'!B10</f>
        <v>-1.53118040089087</v>
      </c>
    </row>
    <row r="11" ht="20.05" customHeight="1">
      <c r="B11" s="33"/>
      <c r="C11" s="18">
        <v>1045</v>
      </c>
      <c r="D11" s="24"/>
      <c r="E11" s="19">
        <v>487</v>
      </c>
      <c r="F11" s="19">
        <v>-267</v>
      </c>
      <c r="G11" s="19">
        <v>-689</v>
      </c>
      <c r="H11" s="17">
        <f>C11/C10-1</f>
        <v>0.0356788899900892</v>
      </c>
      <c r="I11" s="17">
        <f>(E11+G11-F11-C11)/C11</f>
        <v>-0.937799043062201</v>
      </c>
      <c r="J11" s="17">
        <f>AVERAGE(K8:K11)</f>
        <v>-1.5459901889679</v>
      </c>
      <c r="K11" s="17">
        <f>('Cashflow'!D11-'Cashflow'!B11)/'Cashflow'!B11</f>
        <v>-2.5510752688172</v>
      </c>
    </row>
    <row r="12" ht="20.05" customHeight="1">
      <c r="B12" s="34">
        <v>2017</v>
      </c>
      <c r="C12" s="18">
        <v>1022</v>
      </c>
      <c r="D12" s="24"/>
      <c r="E12" s="19">
        <v>569</v>
      </c>
      <c r="F12" s="19">
        <v>101</v>
      </c>
      <c r="G12" s="19">
        <v>-754</v>
      </c>
      <c r="H12" s="17">
        <f>C12/C11-1</f>
        <v>-0.0220095693779904</v>
      </c>
      <c r="I12" s="17">
        <f>(E12+G12-F12-C12)/C12</f>
        <v>-1.27984344422701</v>
      </c>
      <c r="J12" s="17">
        <f>AVERAGE(K9:K12)</f>
        <v>-1.61760948300771</v>
      </c>
      <c r="K12" s="17">
        <f>('Cashflow'!D12-'Cashflow'!B12)/'Cashflow'!B12</f>
        <v>-1.43527367506516</v>
      </c>
    </row>
    <row r="13" ht="20.05" customHeight="1">
      <c r="B13" s="33"/>
      <c r="C13" s="18">
        <v>1120</v>
      </c>
      <c r="D13" s="24"/>
      <c r="E13" s="19">
        <v>601</v>
      </c>
      <c r="F13" s="19">
        <v>2</v>
      </c>
      <c r="G13" s="19">
        <v>-412</v>
      </c>
      <c r="H13" s="17">
        <f>C13/C12-1</f>
        <v>0.0958904109589041</v>
      </c>
      <c r="I13" s="17">
        <f>(E13+G13-F13-C13)/C13</f>
        <v>-0.833035714285714</v>
      </c>
      <c r="J13" s="17">
        <f>AVERAGE(K10:K13)</f>
        <v>-1.71352212113955</v>
      </c>
      <c r="K13" s="17">
        <f>('Cashflow'!D13-'Cashflow'!B13)/'Cashflow'!B13</f>
        <v>-1.33655913978495</v>
      </c>
    </row>
    <row r="14" ht="20.05" customHeight="1">
      <c r="B14" s="33"/>
      <c r="C14" s="18">
        <v>1177</v>
      </c>
      <c r="D14" s="24"/>
      <c r="E14" s="19">
        <v>803</v>
      </c>
      <c r="F14" s="19">
        <v>-163</v>
      </c>
      <c r="G14" s="19">
        <v>-1657</v>
      </c>
      <c r="H14" s="17">
        <f>C14/C13-1</f>
        <v>0.0508928571428571</v>
      </c>
      <c r="I14" s="17">
        <f>(E14+G14-F14-C14)/C14</f>
        <v>-1.58708581138488</v>
      </c>
      <c r="J14" s="17">
        <f>AVERAGE(K11:K14)</f>
        <v>-1.48277247546228</v>
      </c>
      <c r="K14" s="17">
        <f>('Cashflow'!D14-'Cashflow'!B14)/'Cashflow'!B14</f>
        <v>-0.608181818181818</v>
      </c>
    </row>
    <row r="15" ht="20.05" customHeight="1">
      <c r="B15" s="33"/>
      <c r="C15" s="18">
        <v>1349</v>
      </c>
      <c r="D15" s="24"/>
      <c r="E15" s="19">
        <v>943</v>
      </c>
      <c r="F15" s="19">
        <v>15</v>
      </c>
      <c r="G15" s="19">
        <v>-200</v>
      </c>
      <c r="H15" s="17">
        <f>C15/C14-1</f>
        <v>0.146134239592184</v>
      </c>
      <c r="I15" s="17">
        <f>(E15+G15-F15-C15)/C15</f>
        <v>-0.460340993328391</v>
      </c>
      <c r="J15" s="17">
        <f>AVERAGE(K12:K15)</f>
        <v>-1.18406140901786</v>
      </c>
      <c r="K15" s="17">
        <f>('Cashflow'!D15-'Cashflow'!B15)/'Cashflow'!B15</f>
        <v>-1.35623100303951</v>
      </c>
    </row>
    <row r="16" ht="20.05" customHeight="1">
      <c r="B16" s="34">
        <v>2018</v>
      </c>
      <c r="C16" s="18">
        <v>1206</v>
      </c>
      <c r="D16" s="24"/>
      <c r="E16" s="19">
        <v>905</v>
      </c>
      <c r="F16" s="19">
        <v>-59</v>
      </c>
      <c r="G16" s="19">
        <v>-685</v>
      </c>
      <c r="H16" s="17">
        <f>C16/C15-1</f>
        <v>-0.106004447739066</v>
      </c>
      <c r="I16" s="17">
        <f>(E16+G16-F16-C16)/C16</f>
        <v>-0.76865671641791</v>
      </c>
      <c r="J16" s="17">
        <f>AVERAGE(K13:K16)</f>
        <v>-1.12963141228705</v>
      </c>
      <c r="K16" s="17">
        <f>('Cashflow'!D16-'Cashflow'!B16)/'Cashflow'!B16</f>
        <v>-1.21755368814192</v>
      </c>
    </row>
    <row r="17" ht="20.05" customHeight="1">
      <c r="B17" s="33"/>
      <c r="C17" s="18">
        <v>1337</v>
      </c>
      <c r="D17" s="24"/>
      <c r="E17" s="19">
        <v>875</v>
      </c>
      <c r="F17" s="19">
        <v>-148</v>
      </c>
      <c r="G17" s="19">
        <v>-965</v>
      </c>
      <c r="H17" s="17">
        <f>C17/C16-1</f>
        <v>0.108623548922056</v>
      </c>
      <c r="I17" s="17">
        <f>(E17+G17-F17-C17)/C17</f>
        <v>-0.9566192969334329</v>
      </c>
      <c r="J17" s="17">
        <f>AVERAGE(K14:K17)</f>
        <v>-1.06255647375719</v>
      </c>
      <c r="K17" s="17">
        <f>('Cashflow'!D17-'Cashflow'!B17)/'Cashflow'!B17</f>
        <v>-1.06825938566553</v>
      </c>
    </row>
    <row r="18" ht="20.05" customHeight="1">
      <c r="B18" s="33"/>
      <c r="C18" s="18">
        <v>1407</v>
      </c>
      <c r="D18" s="24"/>
      <c r="E18" s="19">
        <v>905</v>
      </c>
      <c r="F18" s="19">
        <v>-366</v>
      </c>
      <c r="G18" s="19">
        <v>-854</v>
      </c>
      <c r="H18" s="17">
        <f>C18/C17-1</f>
        <v>0.0523560209424084</v>
      </c>
      <c r="I18" s="17">
        <f>(E18+G18-F18-C18)/C18</f>
        <v>-0.70362473347548</v>
      </c>
      <c r="J18" s="17">
        <f>AVERAGE(K15:K18)</f>
        <v>-1.16721391776247</v>
      </c>
      <c r="K18" s="17">
        <f>('Cashflow'!D18-'Cashflow'!B18)/'Cashflow'!B18</f>
        <v>-1.0268115942029</v>
      </c>
    </row>
    <row r="19" ht="20.05" customHeight="1">
      <c r="B19" s="33"/>
      <c r="C19" s="18">
        <v>1540</v>
      </c>
      <c r="D19" s="24"/>
      <c r="E19" s="19">
        <v>936</v>
      </c>
      <c r="F19" s="19">
        <v>427</v>
      </c>
      <c r="G19" s="19">
        <v>-1049</v>
      </c>
      <c r="H19" s="17">
        <f>C19/C18-1</f>
        <v>0.0945273631840796</v>
      </c>
      <c r="I19" s="17">
        <f>(E19+G19-F19-C19)/C19</f>
        <v>-1.35064935064935</v>
      </c>
      <c r="J19" s="17">
        <f>AVERAGE(K16:K19)</f>
        <v>-1.14915512097748</v>
      </c>
      <c r="K19" s="17">
        <f>('Cashflow'!D19-'Cashflow'!B19)/'Cashflow'!B19</f>
        <v>-1.28399581589958</v>
      </c>
    </row>
    <row r="20" ht="20.05" customHeight="1">
      <c r="B20" s="34">
        <v>2019</v>
      </c>
      <c r="C20" s="18">
        <v>1411</v>
      </c>
      <c r="D20" s="24"/>
      <c r="E20" s="19">
        <v>969</v>
      </c>
      <c r="F20" s="19">
        <v>202</v>
      </c>
      <c r="G20" s="19">
        <v>-425</v>
      </c>
      <c r="H20" s="17">
        <f>C20/C19-1</f>
        <v>-0.08376623376623379</v>
      </c>
      <c r="I20" s="17">
        <f>(E20+G20-F20-C20)/C20</f>
        <v>-0.757618710134656</v>
      </c>
      <c r="J20" s="17">
        <f>AVERAGE(K17:K20)</f>
        <v>-1.03928678063023</v>
      </c>
      <c r="K20" s="17">
        <f>('Cashflow'!D20-'Cashflow'!B20)/'Cashflow'!B20</f>
        <v>-0.778080326752893</v>
      </c>
    </row>
    <row r="21" ht="20.05" customHeight="1">
      <c r="B21" s="33"/>
      <c r="C21" s="18">
        <v>1620</v>
      </c>
      <c r="D21" s="24"/>
      <c r="E21" s="19">
        <v>843</v>
      </c>
      <c r="F21" s="19">
        <v>-31</v>
      </c>
      <c r="G21" s="19">
        <v>-647</v>
      </c>
      <c r="H21" s="17">
        <f>C21/C20-1</f>
        <v>0.148121899362155</v>
      </c>
      <c r="I21" s="17">
        <f>(E21+G21-F21-C21)/C21</f>
        <v>-0.8598765432098771</v>
      </c>
      <c r="J21" s="17">
        <f>AVERAGE(K18:K21)</f>
        <v>-0.983120948992168</v>
      </c>
      <c r="K21" s="17">
        <f>('Cashflow'!D21-'Cashflow'!B21)/'Cashflow'!B21</f>
        <v>-0.8435960591133</v>
      </c>
    </row>
    <row r="22" ht="20.05" customHeight="1">
      <c r="B22" s="33"/>
      <c r="C22" s="18">
        <v>1947</v>
      </c>
      <c r="D22" s="24"/>
      <c r="E22" s="19">
        <v>931</v>
      </c>
      <c r="F22" s="19">
        <v>27</v>
      </c>
      <c r="G22" s="19">
        <v>-567</v>
      </c>
      <c r="H22" s="17">
        <f>C22/C21-1</f>
        <v>0.201851851851852</v>
      </c>
      <c r="I22" s="17">
        <f>(E22+G22-F22-C22)/C22</f>
        <v>-0.826913199794556</v>
      </c>
      <c r="J22" s="17">
        <f>AVERAGE(K19:K22)</f>
        <v>-0.9994250844390981</v>
      </c>
      <c r="K22" s="17">
        <f>('Cashflow'!D22-'Cashflow'!B22)/'Cashflow'!B22</f>
        <v>-1.09202813599062</v>
      </c>
    </row>
    <row r="23" ht="20.05" customHeight="1">
      <c r="B23" s="33"/>
      <c r="C23" s="18">
        <v>2010</v>
      </c>
      <c r="D23" s="24"/>
      <c r="E23" s="19">
        <v>940</v>
      </c>
      <c r="F23" s="19">
        <v>117</v>
      </c>
      <c r="G23" s="19">
        <v>-549</v>
      </c>
      <c r="H23" s="17">
        <f>C23/C22-1</f>
        <v>0.0323574730354391</v>
      </c>
      <c r="I23" s="17">
        <f>(E23+G23-F23-C23)/C23</f>
        <v>-0.863681592039801</v>
      </c>
      <c r="J23" s="17">
        <f>AVERAGE(K20:K23)</f>
        <v>-0.953619613152593</v>
      </c>
      <c r="K23" s="17">
        <f>('Cashflow'!D23-'Cashflow'!B23)/'Cashflow'!B23</f>
        <v>-1.10077393075356</v>
      </c>
    </row>
    <row r="24" ht="20.05" customHeight="1">
      <c r="B24" s="34">
        <v>2020</v>
      </c>
      <c r="C24" s="18">
        <v>1995.8</v>
      </c>
      <c r="D24" s="19">
        <v>1693.2</v>
      </c>
      <c r="E24" s="19">
        <v>1077.5</v>
      </c>
      <c r="F24" s="19">
        <v>-1266</v>
      </c>
      <c r="G24" s="19">
        <v>-1777</v>
      </c>
      <c r="H24" s="17">
        <f>C24/C23-1</f>
        <v>-0.00706467661691542</v>
      </c>
      <c r="I24" s="17">
        <f>(E24+G24-F24-C24)/C24</f>
        <v>-0.716153923238801</v>
      </c>
      <c r="J24" s="17">
        <f>AVERAGE(K21:K24)</f>
        <v>-0.918174691379082</v>
      </c>
      <c r="K24" s="17">
        <f>('Cashflow'!D24-'Cashflow'!B24)/'Cashflow'!B24</f>
        <v>-0.636300639658849</v>
      </c>
    </row>
    <row r="25" ht="20.05" customHeight="1">
      <c r="B25" s="33"/>
      <c r="C25" s="18">
        <v>2307.2</v>
      </c>
      <c r="D25" s="19">
        <v>2187</v>
      </c>
      <c r="E25" s="19">
        <v>1148.5</v>
      </c>
      <c r="F25" s="19">
        <v>1191</v>
      </c>
      <c r="G25" s="19">
        <v>555</v>
      </c>
      <c r="H25" s="17">
        <f>C25/C24-1</f>
        <v>0.156027658081972</v>
      </c>
      <c r="I25" s="17">
        <f>(E25+G25-F25-C25)/C25</f>
        <v>-0.777869278779473</v>
      </c>
      <c r="J25" s="17">
        <f>AVERAGE(K22:K25)</f>
        <v>-0.9528709146959951</v>
      </c>
      <c r="K25" s="17">
        <f>('Cashflow'!D25-'Cashflow'!B25)/'Cashflow'!B25</f>
        <v>-0.982380952380952</v>
      </c>
    </row>
    <row r="26" ht="20.05" customHeight="1">
      <c r="B26" s="33"/>
      <c r="C26" s="18">
        <f>6845.95-SUM(C24:C25)</f>
        <v>2542.95</v>
      </c>
      <c r="D26" s="19">
        <v>2433.75</v>
      </c>
      <c r="E26" s="19">
        <f>3246.5-SUM(E24:E25)</f>
        <v>1020.5</v>
      </c>
      <c r="F26" s="19">
        <f>-255-SUM(F24:F25)</f>
        <v>-180</v>
      </c>
      <c r="G26" s="19">
        <f>-1751.89-SUM(G24:G25)</f>
        <v>-529.89</v>
      </c>
      <c r="H26" s="17">
        <f>C26/C25-1</f>
        <v>0.102180131761442</v>
      </c>
      <c r="I26" s="17">
        <f>(E26+G26-F26-C26)/C26</f>
        <v>-0.736286596275979</v>
      </c>
      <c r="J26" s="17">
        <f>AVERAGE(K23:K26)</f>
        <v>-0.880918615192948</v>
      </c>
      <c r="K26" s="17">
        <f>('Cashflow'!D26-'Cashflow'!B26)/'Cashflow'!B26</f>
        <v>-0.804218937978431</v>
      </c>
    </row>
    <row r="27" ht="20.05" customHeight="1">
      <c r="B27" s="33"/>
      <c r="C27" s="18">
        <f>9407.9-SUM(C24:C26)</f>
        <v>2561.95</v>
      </c>
      <c r="D27" s="19">
        <v>2670.0975</v>
      </c>
      <c r="E27" s="19">
        <f>3833.4-SUM(E24:E26)</f>
        <v>586.9</v>
      </c>
      <c r="F27" s="19">
        <f>-2.4-SUM(F24:F26)</f>
        <v>252.6</v>
      </c>
      <c r="G27" s="19">
        <f>-1523.6-SUM(G24:G26)</f>
        <v>228.29</v>
      </c>
      <c r="H27" s="17">
        <f>C27/C26-1</f>
        <v>0.00747163727167266</v>
      </c>
      <c r="I27" s="17">
        <f>(E27+G27-F27-C27)/C27</f>
        <v>-0.780405550459611</v>
      </c>
      <c r="J27" s="17">
        <f>AVERAGE(K24:K27)</f>
        <v>-0.826018962565914</v>
      </c>
      <c r="K27" s="17">
        <f>('Cashflow'!D27-'Cashflow'!B27)/'Cashflow'!B27</f>
        <v>-0.881175320245422</v>
      </c>
    </row>
    <row r="28" ht="20.05" customHeight="1">
      <c r="B28" s="34">
        <v>2021</v>
      </c>
      <c r="C28" s="18">
        <v>2406</v>
      </c>
      <c r="D28" s="19">
        <v>2568.3795</v>
      </c>
      <c r="E28" s="19">
        <v>888</v>
      </c>
      <c r="F28" s="19">
        <f>-177-10</f>
        <v>-187</v>
      </c>
      <c r="G28" s="19">
        <v>-397</v>
      </c>
      <c r="H28" s="17">
        <f>C28/C27-1</f>
        <v>-0.0608716017096352</v>
      </c>
      <c r="I28" s="17">
        <f>(E28+G28-F28-C28)/C28</f>
        <v>-0.718204488778055</v>
      </c>
      <c r="J28" s="17">
        <f>AVERAGE(K25:K28)</f>
        <v>-0.834966585401405</v>
      </c>
      <c r="K28" s="17">
        <f>('Cashflow'!D28-'Cashflow'!B28)/'Cashflow'!B28</f>
        <v>-0.672091131000814</v>
      </c>
    </row>
    <row r="29" ht="20.05" customHeight="1">
      <c r="B29" s="33"/>
      <c r="C29" s="18">
        <v>2545</v>
      </c>
      <c r="D29" s="19">
        <v>2766.9</v>
      </c>
      <c r="E29" s="24">
        <v>958</v>
      </c>
      <c r="F29" s="24">
        <v>64</v>
      </c>
      <c r="G29" s="19">
        <v>-55</v>
      </c>
      <c r="H29" s="17">
        <f>C29/C28-1</f>
        <v>0.0577722360764755</v>
      </c>
      <c r="I29" s="17">
        <f>(E29+G29-F29-C29)/C29</f>
        <v>-0.670333988212181</v>
      </c>
      <c r="J29" s="17">
        <f>AVERAGE(K26:K29)</f>
        <v>-0.732353038674955</v>
      </c>
      <c r="K29" s="17">
        <f>('Cashflow'!D29-'Cashflow'!B29)/'Cashflow'!B29</f>
        <v>-0.571926765475153</v>
      </c>
    </row>
    <row r="30" ht="20.05" customHeight="1">
      <c r="B30" s="33"/>
      <c r="C30" s="18">
        <f>7642-SUM(C28:C29)</f>
        <v>2691</v>
      </c>
      <c r="D30" s="15">
        <v>3054</v>
      </c>
      <c r="E30" s="19">
        <f>2807.7-SUM(E28:E29)</f>
        <v>961.7</v>
      </c>
      <c r="F30" s="19">
        <f>-77.5-SUM(F28:F29)</f>
        <v>45.5</v>
      </c>
      <c r="G30" s="19">
        <f>-441.7-SUM(G28:G29)</f>
        <v>10.3</v>
      </c>
      <c r="H30" s="17">
        <f>C30/C29-1</f>
        <v>0.0573673870333988</v>
      </c>
      <c r="I30" s="17">
        <f>(E30+G30-F30-C30)/C30</f>
        <v>-0.65570419918246</v>
      </c>
      <c r="J30" s="17">
        <f>AVERAGE(K27:K30)</f>
        <v>-0.7067270308040769</v>
      </c>
      <c r="K30" s="17">
        <f>('Cashflow'!D30-'Cashflow'!B30)/'Cashflow'!B30</f>
        <v>-0.701714906494917</v>
      </c>
    </row>
    <row r="31" ht="20.05" customHeight="1">
      <c r="B31" s="33"/>
      <c r="C31" s="18"/>
      <c r="D31" s="15">
        <f>'Model'!C6</f>
        <v>2960.1</v>
      </c>
      <c r="E31" s="24"/>
      <c r="F31" s="24"/>
      <c r="G31" s="19"/>
      <c r="H31" s="13"/>
      <c r="I31" s="17">
        <f>'Model'!C7</f>
        <v>-0.65570419918246</v>
      </c>
      <c r="J31" s="25"/>
      <c r="K31" s="17"/>
    </row>
    <row r="32" ht="20.05" customHeight="1">
      <c r="B32" s="34">
        <v>2022</v>
      </c>
      <c r="C32" s="18"/>
      <c r="D32" s="19">
        <f>'Model'!D6</f>
        <v>2930.499</v>
      </c>
      <c r="E32" s="24"/>
      <c r="F32" s="19"/>
      <c r="G32" s="19"/>
      <c r="H32" s="13"/>
      <c r="I32" s="13"/>
      <c r="J32" s="13"/>
      <c r="K32" s="13"/>
    </row>
    <row r="33" ht="20.05" customHeight="1">
      <c r="B33" s="33"/>
      <c r="C33" s="18"/>
      <c r="D33" s="19">
        <f>'Model'!E6</f>
        <v>3252.85389</v>
      </c>
      <c r="E33" s="24"/>
      <c r="F33" s="24"/>
      <c r="G33" s="19"/>
      <c r="H33" s="13"/>
      <c r="I33" s="13"/>
      <c r="J33" s="13"/>
      <c r="K33" s="13"/>
    </row>
    <row r="34" ht="20.05" customHeight="1">
      <c r="B34" s="33"/>
      <c r="C34" s="18"/>
      <c r="D34" s="19">
        <f>'Model'!F6</f>
        <v>3448.0251234</v>
      </c>
      <c r="E34" s="24"/>
      <c r="F34" s="17"/>
      <c r="G34" s="19"/>
      <c r="H34" s="13"/>
      <c r="I34" s="13"/>
      <c r="J34" s="13"/>
      <c r="K34" s="13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3:L31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9.9" customHeight="1" outlineLevelRow="0" outlineLevelCol="0"/>
  <cols>
    <col min="1" max="1" width="7.66406" style="35" customWidth="1"/>
    <col min="2" max="12" width="10.6172" style="35" customWidth="1"/>
    <col min="13" max="16384" width="16.3516" style="35" customWidth="1"/>
  </cols>
  <sheetData>
    <row r="1" ht="44.7" customHeight="1"/>
    <row r="2" ht="27.65" customHeight="1">
      <c r="A2" t="s" s="2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A3" t="s" s="4">
        <v>1</v>
      </c>
      <c r="B3" t="s" s="4">
        <v>47</v>
      </c>
      <c r="C3" t="s" s="4">
        <v>48</v>
      </c>
      <c r="D3" t="s" s="4">
        <v>8</v>
      </c>
      <c r="E3" t="s" s="4">
        <v>9</v>
      </c>
      <c r="F3" t="s" s="4">
        <v>10</v>
      </c>
      <c r="G3" t="s" s="4">
        <v>12</v>
      </c>
      <c r="H3" t="s" s="4">
        <v>13</v>
      </c>
      <c r="I3" t="s" s="4">
        <v>49</v>
      </c>
      <c r="J3" t="s" s="4">
        <v>50</v>
      </c>
      <c r="K3" t="s" s="4">
        <v>3</v>
      </c>
      <c r="L3" t="s" s="4">
        <v>29</v>
      </c>
    </row>
    <row r="4" ht="20.25" customHeight="1">
      <c r="A4" s="28">
        <v>2015</v>
      </c>
      <c r="B4" s="29">
        <v>972</v>
      </c>
      <c r="C4" s="31"/>
      <c r="D4" s="31">
        <v>93</v>
      </c>
      <c r="E4" s="31">
        <v>-296</v>
      </c>
      <c r="F4" s="31">
        <v>-30</v>
      </c>
      <c r="G4" s="31"/>
      <c r="H4" s="31"/>
      <c r="I4" s="31">
        <v>-30</v>
      </c>
      <c r="J4" s="31">
        <f>D4+E4+F4</f>
        <v>-233</v>
      </c>
      <c r="K4" s="31"/>
      <c r="L4" s="31">
        <f>-(I4-F4)</f>
        <v>0</v>
      </c>
    </row>
    <row r="5" ht="20.05" customHeight="1">
      <c r="A5" s="33"/>
      <c r="B5" s="18">
        <v>1021</v>
      </c>
      <c r="C5" s="19"/>
      <c r="D5" s="19">
        <v>-357</v>
      </c>
      <c r="E5" s="19">
        <v>-1114</v>
      </c>
      <c r="F5" s="19">
        <v>-33</v>
      </c>
      <c r="G5" s="19"/>
      <c r="H5" s="19"/>
      <c r="I5" s="19">
        <v>1603</v>
      </c>
      <c r="J5" s="19">
        <f>D5+E5+F5</f>
        <v>-1504</v>
      </c>
      <c r="K5" s="19"/>
      <c r="L5" s="19">
        <f>-(I5-F5)+L4</f>
        <v>-1636</v>
      </c>
    </row>
    <row r="6" ht="20.05" customHeight="1">
      <c r="A6" s="33"/>
      <c r="B6" s="18">
        <v>1169</v>
      </c>
      <c r="C6" s="19"/>
      <c r="D6" s="19">
        <v>105</v>
      </c>
      <c r="E6" s="19">
        <v>-224</v>
      </c>
      <c r="F6" s="19">
        <v>-30</v>
      </c>
      <c r="G6" s="19"/>
      <c r="H6" s="19"/>
      <c r="I6" s="19">
        <v>53</v>
      </c>
      <c r="J6" s="19">
        <f>D6+E6+F6</f>
        <v>-149</v>
      </c>
      <c r="K6" s="19"/>
      <c r="L6" s="19">
        <f>-(I6-F6)+L5</f>
        <v>-1719</v>
      </c>
    </row>
    <row r="7" ht="20.05" customHeight="1">
      <c r="A7" s="33"/>
      <c r="B7" s="18">
        <v>1189</v>
      </c>
      <c r="C7" s="19"/>
      <c r="D7" s="19">
        <v>-1664</v>
      </c>
      <c r="E7" s="19">
        <v>-373</v>
      </c>
      <c r="F7" s="19">
        <v>-43</v>
      </c>
      <c r="G7" s="19"/>
      <c r="H7" s="19"/>
      <c r="I7" s="19">
        <v>1577</v>
      </c>
      <c r="J7" s="19">
        <f>D7+E7+F7</f>
        <v>-2080</v>
      </c>
      <c r="K7" s="19"/>
      <c r="L7" s="19">
        <f>-(I7-F7)+L6</f>
        <v>-3339</v>
      </c>
    </row>
    <row r="8" ht="20.05" customHeight="1">
      <c r="A8" s="34">
        <v>2016</v>
      </c>
      <c r="B8" s="18">
        <v>914</v>
      </c>
      <c r="C8" s="19"/>
      <c r="D8" s="19">
        <v>-136</v>
      </c>
      <c r="E8" s="19">
        <v>-186</v>
      </c>
      <c r="F8" s="19">
        <v>-57</v>
      </c>
      <c r="G8" s="19"/>
      <c r="H8" s="19"/>
      <c r="I8" s="19">
        <v>759</v>
      </c>
      <c r="J8" s="19">
        <f>D8+E8+F8</f>
        <v>-379</v>
      </c>
      <c r="K8" s="19">
        <f>AVERAGE(J5:J8)</f>
        <v>-1028</v>
      </c>
      <c r="L8" s="19">
        <f>-(I8-F8)+L7</f>
        <v>-4155</v>
      </c>
    </row>
    <row r="9" ht="20.05" customHeight="1">
      <c r="A9" s="33"/>
      <c r="B9" s="18">
        <v>1444</v>
      </c>
      <c r="C9" s="19"/>
      <c r="D9" s="19">
        <v>68</v>
      </c>
      <c r="E9" s="19">
        <v>-544</v>
      </c>
      <c r="F9" s="19">
        <v>-60</v>
      </c>
      <c r="G9" s="19"/>
      <c r="H9" s="19"/>
      <c r="I9" s="19">
        <v>561</v>
      </c>
      <c r="J9" s="19">
        <f>D9+E9+F9</f>
        <v>-536</v>
      </c>
      <c r="K9" s="19">
        <f>AVERAGE(J6:J9)</f>
        <v>-786</v>
      </c>
      <c r="L9" s="19">
        <f>-(I9-F9)+L8</f>
        <v>-4776</v>
      </c>
    </row>
    <row r="10" ht="20.05" customHeight="1">
      <c r="A10" s="33"/>
      <c r="B10" s="18">
        <v>898</v>
      </c>
      <c r="C10" s="19"/>
      <c r="D10" s="19">
        <v>-477</v>
      </c>
      <c r="E10" s="19">
        <v>-193</v>
      </c>
      <c r="F10" s="19">
        <v>-62</v>
      </c>
      <c r="G10" s="19"/>
      <c r="H10" s="19"/>
      <c r="I10" s="19">
        <v>685</v>
      </c>
      <c r="J10" s="19">
        <f>D10+E10+F10</f>
        <v>-732</v>
      </c>
      <c r="K10" s="19">
        <f>AVERAGE(J7:J10)</f>
        <v>-931.75</v>
      </c>
      <c r="L10" s="19">
        <f>-(I10-F10)+L9</f>
        <v>-5523</v>
      </c>
    </row>
    <row r="11" ht="20.05" customHeight="1">
      <c r="A11" s="33"/>
      <c r="B11" s="18">
        <v>744</v>
      </c>
      <c r="C11" s="19"/>
      <c r="D11" s="19">
        <v>-1154</v>
      </c>
      <c r="E11" s="19">
        <v>-577</v>
      </c>
      <c r="F11" s="19">
        <v>-67</v>
      </c>
      <c r="G11" s="19"/>
      <c r="H11" s="19"/>
      <c r="I11" s="19">
        <v>1306</v>
      </c>
      <c r="J11" s="19">
        <f>D11+E11+F11</f>
        <v>-1798</v>
      </c>
      <c r="K11" s="19">
        <f>AVERAGE(J8:J11)</f>
        <v>-861.25</v>
      </c>
      <c r="L11" s="19">
        <f>-(I11-F11)+L10</f>
        <v>-6896</v>
      </c>
    </row>
    <row r="12" ht="20.05" customHeight="1">
      <c r="A12" s="34">
        <v>2017</v>
      </c>
      <c r="B12" s="18">
        <v>1151</v>
      </c>
      <c r="C12" s="19">
        <v>-543.25</v>
      </c>
      <c r="D12" s="19">
        <v>-501</v>
      </c>
      <c r="E12" s="19">
        <v>-448</v>
      </c>
      <c r="F12" s="19">
        <v>-68</v>
      </c>
      <c r="G12" s="19"/>
      <c r="H12" s="19"/>
      <c r="I12" s="19">
        <v>888</v>
      </c>
      <c r="J12" s="19">
        <f>D12+C12+F12</f>
        <v>-1112.25</v>
      </c>
      <c r="K12" s="19">
        <f>AVERAGE(J9:J12)</f>
        <v>-1044.5625</v>
      </c>
      <c r="L12" s="19">
        <f>-(I12-F12)+L11</f>
        <v>-7852</v>
      </c>
    </row>
    <row r="13" ht="20.05" customHeight="1">
      <c r="A13" s="33"/>
      <c r="B13" s="18">
        <v>930</v>
      </c>
      <c r="C13" s="19">
        <v>-543.25</v>
      </c>
      <c r="D13" s="19">
        <v>-313</v>
      </c>
      <c r="E13" s="19">
        <v>-636</v>
      </c>
      <c r="F13" s="19">
        <v>-107</v>
      </c>
      <c r="G13" s="19"/>
      <c r="H13" s="19"/>
      <c r="I13" s="19">
        <v>963</v>
      </c>
      <c r="J13" s="19">
        <f>D13+C13+F13</f>
        <v>-963.25</v>
      </c>
      <c r="K13" s="19">
        <f>AVERAGE(J10:J13)</f>
        <v>-1151.375</v>
      </c>
      <c r="L13" s="19">
        <f>-(I13-F13)+L12</f>
        <v>-8922</v>
      </c>
    </row>
    <row r="14" ht="20.05" customHeight="1">
      <c r="A14" s="33"/>
      <c r="B14" s="18">
        <v>1100</v>
      </c>
      <c r="C14" s="19">
        <v>-543.25</v>
      </c>
      <c r="D14" s="19">
        <v>431</v>
      </c>
      <c r="E14" s="19">
        <v>-755</v>
      </c>
      <c r="F14" s="19">
        <v>-76</v>
      </c>
      <c r="G14" s="19"/>
      <c r="H14" s="19"/>
      <c r="I14" s="19">
        <v>325</v>
      </c>
      <c r="J14" s="19">
        <f>D14+C14+F14</f>
        <v>-188.25</v>
      </c>
      <c r="K14" s="19">
        <f>AVERAGE(J11:J14)</f>
        <v>-1015.4375</v>
      </c>
      <c r="L14" s="19">
        <f>-(I14-F14)+L13</f>
        <v>-9323</v>
      </c>
    </row>
    <row r="15" ht="20.05" customHeight="1">
      <c r="A15" s="33"/>
      <c r="B15" s="18">
        <v>1645</v>
      </c>
      <c r="C15" s="19">
        <v>-543.25</v>
      </c>
      <c r="D15" s="19">
        <v>-586</v>
      </c>
      <c r="E15" s="19">
        <v>-1125</v>
      </c>
      <c r="F15" s="19">
        <v>-85</v>
      </c>
      <c r="G15" s="19"/>
      <c r="H15" s="19"/>
      <c r="I15" s="19">
        <v>1988</v>
      </c>
      <c r="J15" s="19">
        <f>D15+C15+F15</f>
        <v>-1214.25</v>
      </c>
      <c r="K15" s="19">
        <f>AVERAGE(J12:J15)</f>
        <v>-869.5</v>
      </c>
      <c r="L15" s="19">
        <f>-(I15-F15)+L14</f>
        <v>-11396</v>
      </c>
    </row>
    <row r="16" ht="20.05" customHeight="1">
      <c r="A16" s="34">
        <v>2018</v>
      </c>
      <c r="B16" s="18">
        <v>1071</v>
      </c>
      <c r="C16" s="19">
        <v>-687.75</v>
      </c>
      <c r="D16" s="19">
        <v>-233</v>
      </c>
      <c r="E16" s="19">
        <v>-419</v>
      </c>
      <c r="F16" s="19">
        <v>-83</v>
      </c>
      <c r="G16" s="19"/>
      <c r="H16" s="19"/>
      <c r="I16" s="19">
        <v>402</v>
      </c>
      <c r="J16" s="19">
        <f>D16+C16+F16</f>
        <v>-1003.75</v>
      </c>
      <c r="K16" s="19">
        <f>AVERAGE(J13:J16)</f>
        <v>-842.375</v>
      </c>
      <c r="L16" s="19">
        <f>-(I16-F16)+L15</f>
        <v>-11881</v>
      </c>
    </row>
    <row r="17" ht="20.05" customHeight="1">
      <c r="A17" s="33"/>
      <c r="B17" s="18">
        <v>1465</v>
      </c>
      <c r="C17" s="19">
        <v>-687.75</v>
      </c>
      <c r="D17" s="19">
        <v>-100</v>
      </c>
      <c r="E17" s="19">
        <v>-454</v>
      </c>
      <c r="F17" s="19">
        <v>-87</v>
      </c>
      <c r="G17" s="19"/>
      <c r="H17" s="19"/>
      <c r="I17" s="19">
        <v>-1166</v>
      </c>
      <c r="J17" s="19">
        <f>D17+C17+F17</f>
        <v>-874.75</v>
      </c>
      <c r="K17" s="19">
        <f>AVERAGE(J14:J17)</f>
        <v>-820.25</v>
      </c>
      <c r="L17" s="19">
        <f>-(I17-F17)+L16</f>
        <v>-10802</v>
      </c>
    </row>
    <row r="18" ht="20.05" customHeight="1">
      <c r="A18" s="33"/>
      <c r="B18" s="18">
        <v>1380</v>
      </c>
      <c r="C18" s="19">
        <v>-687.75</v>
      </c>
      <c r="D18" s="19">
        <v>-37</v>
      </c>
      <c r="E18" s="19">
        <v>-1060</v>
      </c>
      <c r="F18" s="19">
        <v>-82</v>
      </c>
      <c r="G18" s="19"/>
      <c r="H18" s="19"/>
      <c r="I18" s="19">
        <v>2914</v>
      </c>
      <c r="J18" s="19">
        <f>D18+C18+F18</f>
        <v>-806.75</v>
      </c>
      <c r="K18" s="19">
        <f>AVERAGE(J15:J18)</f>
        <v>-974.875</v>
      </c>
      <c r="L18" s="19">
        <f>-(I18-F18)+L17</f>
        <v>-13798</v>
      </c>
    </row>
    <row r="19" ht="20.05" customHeight="1">
      <c r="A19" s="33"/>
      <c r="B19" s="18">
        <v>1912</v>
      </c>
      <c r="C19" s="19">
        <v>-687.75</v>
      </c>
      <c r="D19" s="19">
        <v>-543</v>
      </c>
      <c r="E19" s="19">
        <v>-1004</v>
      </c>
      <c r="F19" s="19">
        <v>-72</v>
      </c>
      <c r="G19" s="19"/>
      <c r="H19" s="19"/>
      <c r="I19" s="19">
        <v>1662</v>
      </c>
      <c r="J19" s="19">
        <f>D19+C19+F19</f>
        <v>-1302.75</v>
      </c>
      <c r="K19" s="19">
        <f>AVERAGE(J16:J19)</f>
        <v>-997</v>
      </c>
      <c r="L19" s="19">
        <f>-(I19-F19)+L18</f>
        <v>-15532</v>
      </c>
    </row>
    <row r="20" ht="20.05" customHeight="1">
      <c r="A20" s="34">
        <v>2019</v>
      </c>
      <c r="B20" s="18">
        <v>1469</v>
      </c>
      <c r="C20" s="19">
        <v>-751</v>
      </c>
      <c r="D20" s="19">
        <v>326</v>
      </c>
      <c r="E20" s="19">
        <v>-747</v>
      </c>
      <c r="F20" s="19">
        <v>-68</v>
      </c>
      <c r="G20" s="19"/>
      <c r="H20" s="19"/>
      <c r="I20" s="19">
        <v>344</v>
      </c>
      <c r="J20" s="19">
        <f>D20+C20+F20</f>
        <v>-493</v>
      </c>
      <c r="K20" s="19">
        <f>AVERAGE(J17:J20)</f>
        <v>-869.3125</v>
      </c>
      <c r="L20" s="19">
        <f>-(I20-F20)+L19</f>
        <v>-15944</v>
      </c>
    </row>
    <row r="21" ht="20.05" customHeight="1">
      <c r="A21" s="33"/>
      <c r="B21" s="18">
        <v>1624</v>
      </c>
      <c r="C21" s="19">
        <v>-751</v>
      </c>
      <c r="D21" s="19">
        <v>254</v>
      </c>
      <c r="E21" s="19">
        <v>-1117</v>
      </c>
      <c r="F21" s="19">
        <v>-65</v>
      </c>
      <c r="G21" s="19"/>
      <c r="H21" s="19"/>
      <c r="I21" s="19">
        <v>744</v>
      </c>
      <c r="J21" s="19">
        <f>D21+C21+F21</f>
        <v>-562</v>
      </c>
      <c r="K21" s="19">
        <f>AVERAGE(J18:J21)</f>
        <v>-791.125</v>
      </c>
      <c r="L21" s="19">
        <f>-(I21-F21)+L20</f>
        <v>-16753</v>
      </c>
    </row>
    <row r="22" ht="20.05" customHeight="1">
      <c r="A22" s="33"/>
      <c r="B22" s="18">
        <v>1706</v>
      </c>
      <c r="C22" s="19">
        <v>-751</v>
      </c>
      <c r="D22" s="19">
        <v>-157</v>
      </c>
      <c r="E22" s="19">
        <v>-987</v>
      </c>
      <c r="F22" s="19">
        <v>-66</v>
      </c>
      <c r="G22" s="19"/>
      <c r="H22" s="19"/>
      <c r="I22" s="19">
        <v>1301</v>
      </c>
      <c r="J22" s="19">
        <f>D22+C22+F22</f>
        <v>-974</v>
      </c>
      <c r="K22" s="19">
        <f>AVERAGE(J19:J22)</f>
        <v>-832.9375</v>
      </c>
      <c r="L22" s="19">
        <f>-(I22-F22)+L21</f>
        <v>-18120</v>
      </c>
    </row>
    <row r="23" ht="20.05" customHeight="1">
      <c r="A23" s="33"/>
      <c r="B23" s="18">
        <v>2455</v>
      </c>
      <c r="C23" s="19">
        <v>-751</v>
      </c>
      <c r="D23" s="19">
        <v>-247.4</v>
      </c>
      <c r="E23" s="19">
        <v>-958</v>
      </c>
      <c r="F23" s="19">
        <v>-67</v>
      </c>
      <c r="G23" s="19"/>
      <c r="H23" s="19"/>
      <c r="I23" s="19">
        <v>1036.7</v>
      </c>
      <c r="J23" s="19">
        <f>D23+C23+F23</f>
        <v>-1065.4</v>
      </c>
      <c r="K23" s="19">
        <f>AVERAGE(J20:J23)</f>
        <v>-773.6</v>
      </c>
      <c r="L23" s="19">
        <f>-(I23-F23)+L22</f>
        <v>-19223.7</v>
      </c>
    </row>
    <row r="24" ht="20.05" customHeight="1">
      <c r="A24" s="34">
        <v>2020</v>
      </c>
      <c r="B24" s="18">
        <v>1876</v>
      </c>
      <c r="C24" s="19">
        <v>-1125</v>
      </c>
      <c r="D24" s="19">
        <v>682.3</v>
      </c>
      <c r="E24" s="19">
        <v>-824.3</v>
      </c>
      <c r="F24" s="19">
        <v>-197</v>
      </c>
      <c r="G24" s="19"/>
      <c r="H24" s="19"/>
      <c r="I24" s="19">
        <v>118.2</v>
      </c>
      <c r="J24" s="19">
        <f>D24+C24+F24</f>
        <v>-639.7</v>
      </c>
      <c r="K24" s="19">
        <f>AVERAGE(J21:J24)</f>
        <v>-810.275</v>
      </c>
      <c r="L24" s="19">
        <f>-(I24-F24)+L23</f>
        <v>-19538.9</v>
      </c>
    </row>
    <row r="25" ht="20.05" customHeight="1">
      <c r="A25" s="33"/>
      <c r="B25" s="18">
        <v>2310</v>
      </c>
      <c r="C25" s="19">
        <v>-1125</v>
      </c>
      <c r="D25" s="19">
        <v>40.7</v>
      </c>
      <c r="E25" s="19">
        <v>-1563.7</v>
      </c>
      <c r="F25" s="19">
        <v>-232</v>
      </c>
      <c r="G25" s="19"/>
      <c r="H25" s="19"/>
      <c r="I25" s="19">
        <v>1696.8</v>
      </c>
      <c r="J25" s="19">
        <f>D25+C25+F25</f>
        <v>-1316.3</v>
      </c>
      <c r="K25" s="19">
        <f>AVERAGE(J22:J25)</f>
        <v>-998.85</v>
      </c>
      <c r="L25" s="19">
        <f>-(I25-F25)+L24</f>
        <v>-21467.7</v>
      </c>
    </row>
    <row r="26" ht="20.05" customHeight="1">
      <c r="A26" s="33"/>
      <c r="B26" s="18">
        <f>6776.889-SUM(B24:B25)</f>
        <v>2590.889</v>
      </c>
      <c r="C26" s="19">
        <v>-1125</v>
      </c>
      <c r="D26" s="19">
        <f>1230.247-SUM(D24:D25)</f>
        <v>507.247</v>
      </c>
      <c r="E26" s="19">
        <f>-2935.48-SUM(E24:E25)</f>
        <v>-547.48</v>
      </c>
      <c r="F26" s="19">
        <v>-301</v>
      </c>
      <c r="G26" s="19"/>
      <c r="H26" s="19"/>
      <c r="I26" s="19">
        <f>2322.4-SUM(I24:I25)</f>
        <v>507.4</v>
      </c>
      <c r="J26" s="19">
        <f>D26+C26+F26</f>
        <v>-918.753</v>
      </c>
      <c r="K26" s="19">
        <f>AVERAGE(J23:J26)</f>
        <v>-985.0382499999999</v>
      </c>
      <c r="L26" s="19">
        <f>-(I26-F26)+L25</f>
        <v>-22276.1</v>
      </c>
    </row>
    <row r="27" ht="20.05" customHeight="1">
      <c r="A27" s="33"/>
      <c r="B27" s="18">
        <f>9578.1-SUM(B24:B26)</f>
        <v>2801.211</v>
      </c>
      <c r="C27" s="19">
        <v>-1125</v>
      </c>
      <c r="D27" s="19">
        <f>1563.1-SUM(D24:D26)</f>
        <v>332.853</v>
      </c>
      <c r="E27" s="19">
        <f>-4690-SUM(E24:E26)</f>
        <v>-1754.52</v>
      </c>
      <c r="F27" s="19">
        <f>-1105.1-SUM(F24:F26)</f>
        <v>-375.1</v>
      </c>
      <c r="G27" s="19"/>
      <c r="H27" s="19"/>
      <c r="I27" s="19">
        <f>3583.3-SUM(I24:I26)</f>
        <v>1260.9</v>
      </c>
      <c r="J27" s="19">
        <f>D27+C27+F27</f>
        <v>-1167.247</v>
      </c>
      <c r="K27" s="19">
        <f>AVERAGE(J24:J27)</f>
        <v>-1010.5</v>
      </c>
      <c r="L27" s="19">
        <f>-(I27-F27)+L26</f>
        <v>-23912.1</v>
      </c>
    </row>
    <row r="28" ht="20.05" customHeight="1">
      <c r="A28" s="34">
        <v>2021</v>
      </c>
      <c r="B28" s="18">
        <v>2458</v>
      </c>
      <c r="C28" s="19">
        <v>-465.5</v>
      </c>
      <c r="D28" s="19">
        <v>806</v>
      </c>
      <c r="E28" s="19">
        <v>-830</v>
      </c>
      <c r="F28" s="19">
        <v>-289</v>
      </c>
      <c r="G28" s="19">
        <f>-117.983-F28</f>
        <v>171.017</v>
      </c>
      <c r="H28" s="19"/>
      <c r="I28" s="19">
        <v>-118</v>
      </c>
      <c r="J28" s="19">
        <f>D28+C28+F28</f>
        <v>51.5</v>
      </c>
      <c r="K28" s="19">
        <f>AVERAGE(J25:J28)</f>
        <v>-837.7</v>
      </c>
      <c r="L28" s="19">
        <f>-(G28+H28)+L27</f>
        <v>-24083.117</v>
      </c>
    </row>
    <row r="29" ht="20.05" customHeight="1">
      <c r="A29" s="33"/>
      <c r="B29" s="18">
        <v>2294</v>
      </c>
      <c r="C29" s="19">
        <v>-465.5</v>
      </c>
      <c r="D29" s="19">
        <v>982</v>
      </c>
      <c r="E29" s="19">
        <v>-933</v>
      </c>
      <c r="F29" s="19">
        <v>-276</v>
      </c>
      <c r="G29" s="19">
        <f>295.065-F29-F28-G28-H29-H28</f>
        <v>-8.489000000000001</v>
      </c>
      <c r="H29" s="19">
        <f>697.537</f>
        <v>697.537</v>
      </c>
      <c r="I29" s="19">
        <v>413</v>
      </c>
      <c r="J29" s="19">
        <f>D29+C29+F29</f>
        <v>240.5</v>
      </c>
      <c r="K29" s="19">
        <f>AVERAGE(J26:J29)</f>
        <v>-448.5</v>
      </c>
      <c r="L29" s="19">
        <f>-(G29+H29)+L28</f>
        <v>-24772.165</v>
      </c>
    </row>
    <row r="30" ht="20.05" customHeight="1">
      <c r="A30" s="33"/>
      <c r="B30" s="18">
        <f>7329.4-SUM(B28:B29)</f>
        <v>2577.4</v>
      </c>
      <c r="C30" s="19">
        <f>-788.6-474.9-SUM(C28:C29)</f>
        <v>-332.5</v>
      </c>
      <c r="D30" s="19">
        <f>2556.8-SUM(D28:D29)</f>
        <v>768.8</v>
      </c>
      <c r="E30" s="19">
        <f>-2091.1-SUM(E28:E29)</f>
        <v>-328.1</v>
      </c>
      <c r="F30" s="19">
        <f>-1087.7-SUM(F28:F29)</f>
        <v>-522.7</v>
      </c>
      <c r="G30" s="19">
        <f>-243.508-F30-F29-F28-G29-G28-H30-H29-H28</f>
        <v>-16.187</v>
      </c>
      <c r="H30" s="19">
        <f>581.597+116.254-H29</f>
        <v>0.314</v>
      </c>
      <c r="I30" s="19">
        <f>-243.5-SUM(I28:I29)</f>
        <v>-538.5</v>
      </c>
      <c r="J30" s="19">
        <f>D30+C30+F30</f>
        <v>-86.40000000000001</v>
      </c>
      <c r="K30" s="19">
        <f>AVERAGE(J27:J30)</f>
        <v>-240.41175</v>
      </c>
      <c r="L30" s="19">
        <f>-(G30+H30)+L29</f>
        <v>-24756.292</v>
      </c>
    </row>
    <row r="31" ht="20.05" customHeight="1">
      <c r="A31" s="33"/>
      <c r="B31" s="18"/>
      <c r="C31" s="19"/>
      <c r="D31" s="19"/>
      <c r="E31" s="19"/>
      <c r="F31" s="19"/>
      <c r="G31" s="19"/>
      <c r="H31" s="19"/>
      <c r="I31" s="19"/>
      <c r="J31" s="24"/>
      <c r="K31" s="19">
        <f>SUM('Model'!F9:F11)</f>
        <v>496.473904433333</v>
      </c>
      <c r="L31" s="19">
        <f>'Model'!F33</f>
        <v>-24634.0323272332</v>
      </c>
    </row>
  </sheetData>
  <mergeCells count="1">
    <mergeCell ref="A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3516" style="36" customWidth="1"/>
    <col min="2" max="11" width="10.8828" style="36" customWidth="1"/>
    <col min="12" max="16384" width="16.3516" style="36" customWidth="1"/>
  </cols>
  <sheetData>
    <row r="1" ht="46.3" customHeight="1"/>
    <row r="2" ht="27.65" customHeight="1">
      <c r="B2" t="s" s="2">
        <v>51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52</v>
      </c>
      <c r="D3" t="s" s="4">
        <v>53</v>
      </c>
      <c r="E3" t="s" s="4">
        <v>54</v>
      </c>
      <c r="F3" t="s" s="4">
        <v>24</v>
      </c>
      <c r="G3" t="s" s="4">
        <v>12</v>
      </c>
      <c r="H3" t="s" s="4">
        <v>13</v>
      </c>
      <c r="I3" t="s" s="4">
        <v>55</v>
      </c>
      <c r="J3" t="s" s="4">
        <v>27</v>
      </c>
      <c r="K3" t="s" s="4">
        <v>34</v>
      </c>
    </row>
    <row r="4" ht="21.1" customHeight="1">
      <c r="B4" s="28">
        <v>2015</v>
      </c>
      <c r="C4" s="29">
        <v>427</v>
      </c>
      <c r="D4" s="31">
        <v>17591</v>
      </c>
      <c r="E4" s="31">
        <f>D4-C4</f>
        <v>17164</v>
      </c>
      <c r="F4" s="31">
        <v>5744</v>
      </c>
      <c r="G4" s="31">
        <v>14135</v>
      </c>
      <c r="H4" s="31">
        <v>3456</v>
      </c>
      <c r="I4" s="31">
        <f>G4+H4-C4-E4</f>
        <v>0</v>
      </c>
      <c r="J4" s="31">
        <f>C4-G4</f>
        <v>-13708</v>
      </c>
      <c r="K4" s="31"/>
    </row>
    <row r="5" ht="21.1" customHeight="1">
      <c r="B5" s="33"/>
      <c r="C5" s="18">
        <v>624</v>
      </c>
      <c r="D5" s="19">
        <v>18827</v>
      </c>
      <c r="E5" s="19">
        <f>D5-C5</f>
        <v>18203</v>
      </c>
      <c r="F5" s="19">
        <v>5983</v>
      </c>
      <c r="G5" s="19">
        <v>11836</v>
      </c>
      <c r="H5" s="19">
        <v>6992</v>
      </c>
      <c r="I5" s="19">
        <f>G5+H5-C5-E5</f>
        <v>1</v>
      </c>
      <c r="J5" s="19">
        <f>C5-G5</f>
        <v>-11212</v>
      </c>
      <c r="K5" s="19"/>
    </row>
    <row r="6" ht="21.1" customHeight="1">
      <c r="B6" s="33"/>
      <c r="C6" s="18">
        <v>577</v>
      </c>
      <c r="D6" s="19">
        <v>19557</v>
      </c>
      <c r="E6" s="19">
        <f>D6-C6</f>
        <v>18980</v>
      </c>
      <c r="F6" s="19">
        <v>6232</v>
      </c>
      <c r="G6" s="19">
        <v>13091</v>
      </c>
      <c r="H6" s="19">
        <v>6466</v>
      </c>
      <c r="I6" s="19">
        <f>G6+H6-C6-E6</f>
        <v>0</v>
      </c>
      <c r="J6" s="19">
        <f>C6-G6</f>
        <v>-12514</v>
      </c>
      <c r="K6" s="19"/>
    </row>
    <row r="7" ht="21.1" customHeight="1">
      <c r="B7" s="33"/>
      <c r="C7" s="18">
        <v>99</v>
      </c>
      <c r="D7" s="19">
        <v>20706</v>
      </c>
      <c r="E7" s="19">
        <f>D7-C7</f>
        <v>20607</v>
      </c>
      <c r="F7" s="19">
        <v>6149</v>
      </c>
      <c r="G7" s="19">
        <v>13857</v>
      </c>
      <c r="H7" s="19">
        <v>6849</v>
      </c>
      <c r="I7" s="19">
        <f>G7+H7-C7-E7</f>
        <v>0</v>
      </c>
      <c r="J7" s="19">
        <f>C7-G7</f>
        <v>-13758</v>
      </c>
      <c r="K7" s="19"/>
    </row>
    <row r="8" ht="21.1" customHeight="1">
      <c r="B8" s="34">
        <v>2016</v>
      </c>
      <c r="C8" s="18">
        <v>534</v>
      </c>
      <c r="D8" s="19">
        <v>20996</v>
      </c>
      <c r="E8" s="19">
        <f>D8-C8</f>
        <v>20462</v>
      </c>
      <c r="F8" s="19">
        <v>6585</v>
      </c>
      <c r="G8" s="19">
        <v>14414</v>
      </c>
      <c r="H8" s="19">
        <v>6583</v>
      </c>
      <c r="I8" s="19">
        <f>G8+H8-C8-E8</f>
        <v>1</v>
      </c>
      <c r="J8" s="19">
        <f>C8-G8</f>
        <v>-13880</v>
      </c>
      <c r="K8" s="19"/>
    </row>
    <row r="9" ht="20.9" customHeight="1">
      <c r="B9" s="33"/>
      <c r="C9" s="18">
        <v>619</v>
      </c>
      <c r="D9" s="19">
        <v>21129</v>
      </c>
      <c r="E9" s="19">
        <f>D9-C9</f>
        <v>20510</v>
      </c>
      <c r="F9" s="19">
        <v>6579</v>
      </c>
      <c r="G9" s="19">
        <v>14948</v>
      </c>
      <c r="H9" s="19">
        <v>6181</v>
      </c>
      <c r="I9" s="19">
        <f>G9+H9-C9-E9</f>
        <v>0</v>
      </c>
      <c r="J9" s="19">
        <f>C9-G9</f>
        <v>-14329</v>
      </c>
      <c r="K9" s="19"/>
    </row>
    <row r="10" ht="20.9" customHeight="1">
      <c r="B10" s="33"/>
      <c r="C10" s="18">
        <v>633</v>
      </c>
      <c r="D10" s="19">
        <v>21491</v>
      </c>
      <c r="E10" s="19">
        <f>D10-C10</f>
        <v>20858</v>
      </c>
      <c r="F10" s="19">
        <v>7020</v>
      </c>
      <c r="G10" s="19">
        <v>15928</v>
      </c>
      <c r="H10" s="19">
        <v>5564</v>
      </c>
      <c r="I10" s="19">
        <f>G10+H10-C10-E10</f>
        <v>1</v>
      </c>
      <c r="J10" s="19">
        <f>C10-G10</f>
        <v>-15295</v>
      </c>
      <c r="K10" s="19"/>
    </row>
    <row r="11" ht="20.9" customHeight="1">
      <c r="B11" s="33"/>
      <c r="C11" s="18">
        <v>210</v>
      </c>
      <c r="D11" s="19">
        <v>22807</v>
      </c>
      <c r="E11" s="19">
        <f>D11-C11</f>
        <v>22597</v>
      </c>
      <c r="F11" s="19">
        <v>7181</v>
      </c>
      <c r="G11" s="19">
        <v>16938</v>
      </c>
      <c r="H11" s="19">
        <v>5869</v>
      </c>
      <c r="I11" s="19">
        <f>G11+H11-C11-E11</f>
        <v>0</v>
      </c>
      <c r="J11" s="19">
        <f>C11-G11</f>
        <v>-16728</v>
      </c>
      <c r="K11" s="19"/>
    </row>
    <row r="12" ht="20.9" customHeight="1">
      <c r="B12" s="34">
        <v>2017</v>
      </c>
      <c r="C12" s="18">
        <v>149</v>
      </c>
      <c r="D12" s="19">
        <v>23007</v>
      </c>
      <c r="E12" s="19">
        <f>D12-C12</f>
        <v>22858</v>
      </c>
      <c r="F12" s="19">
        <v>7596</v>
      </c>
      <c r="G12" s="19">
        <v>17893</v>
      </c>
      <c r="H12" s="19">
        <v>5115</v>
      </c>
      <c r="I12" s="19">
        <f>G12+H12-C12-E12</f>
        <v>1</v>
      </c>
      <c r="J12" s="19">
        <f>C12-G12</f>
        <v>-17744</v>
      </c>
      <c r="K12" s="19"/>
    </row>
    <row r="13" ht="20.9" customHeight="1">
      <c r="B13" s="33"/>
      <c r="C13" s="18">
        <v>163</v>
      </c>
      <c r="D13" s="19">
        <v>23350</v>
      </c>
      <c r="E13" s="19">
        <f>D13-C13</f>
        <v>23187</v>
      </c>
      <c r="F13" s="19">
        <v>7778</v>
      </c>
      <c r="G13" s="19">
        <v>17247</v>
      </c>
      <c r="H13" s="19">
        <v>6103</v>
      </c>
      <c r="I13" s="19">
        <f>G13+H13-C13-E13</f>
        <v>0</v>
      </c>
      <c r="J13" s="19">
        <f>C13-G13</f>
        <v>-17084</v>
      </c>
      <c r="K13" s="19"/>
    </row>
    <row r="14" ht="20.9" customHeight="1">
      <c r="B14" s="33"/>
      <c r="C14" s="18">
        <v>164</v>
      </c>
      <c r="D14" s="19">
        <v>22368</v>
      </c>
      <c r="E14" s="19">
        <f>D14-C14</f>
        <v>22204</v>
      </c>
      <c r="F14" s="19">
        <v>7616</v>
      </c>
      <c r="G14" s="19">
        <v>17921</v>
      </c>
      <c r="H14" s="19">
        <v>4447</v>
      </c>
      <c r="I14" s="19">
        <f>G14+H14-C14-E14</f>
        <v>0</v>
      </c>
      <c r="J14" s="19">
        <f>C14-G14</f>
        <v>-17757</v>
      </c>
      <c r="K14" s="19"/>
    </row>
    <row r="15" ht="20.9" customHeight="1">
      <c r="B15" s="33"/>
      <c r="C15" s="18">
        <v>442</v>
      </c>
      <c r="D15" s="19">
        <v>24114</v>
      </c>
      <c r="E15" s="19">
        <f>D15-C15</f>
        <v>23672</v>
      </c>
      <c r="F15" s="19">
        <v>8163</v>
      </c>
      <c r="G15" s="19">
        <v>14869</v>
      </c>
      <c r="H15" s="19">
        <v>9245</v>
      </c>
      <c r="I15" s="19">
        <f>G15+H15-C15-E15</f>
        <v>0</v>
      </c>
      <c r="J15" s="19">
        <f>C15-G15</f>
        <v>-14427</v>
      </c>
      <c r="K15" s="19"/>
    </row>
    <row r="16" ht="20.9" customHeight="1">
      <c r="B16" s="34">
        <v>2018</v>
      </c>
      <c r="C16" s="18">
        <v>193</v>
      </c>
      <c r="D16" s="19">
        <v>24201</v>
      </c>
      <c r="E16" s="19">
        <f>D16-C16</f>
        <v>24008</v>
      </c>
      <c r="F16" s="19">
        <v>8264</v>
      </c>
      <c r="G16" s="19">
        <v>15642</v>
      </c>
      <c r="H16" s="19">
        <v>8560</v>
      </c>
      <c r="I16" s="19">
        <f>G16+H16-C16-E16</f>
        <v>1</v>
      </c>
      <c r="J16" s="19">
        <f>C16-G16</f>
        <v>-15449</v>
      </c>
      <c r="K16" s="19"/>
    </row>
    <row r="17" ht="20.9" customHeight="1">
      <c r="B17" s="33"/>
      <c r="C17" s="18">
        <v>240</v>
      </c>
      <c r="D17" s="19">
        <v>24099</v>
      </c>
      <c r="E17" s="19">
        <f>D17-C17</f>
        <v>23859</v>
      </c>
      <c r="F17" s="19">
        <v>8623</v>
      </c>
      <c r="G17" s="19">
        <v>16485</v>
      </c>
      <c r="H17" s="19">
        <v>7614</v>
      </c>
      <c r="I17" s="19">
        <f>G17+H17-C17-E17</f>
        <v>0</v>
      </c>
      <c r="J17" s="19">
        <f>C17-G17</f>
        <v>-16245</v>
      </c>
      <c r="K17" s="19"/>
    </row>
    <row r="18" ht="20.9" customHeight="1">
      <c r="B18" s="33"/>
      <c r="C18" s="18">
        <v>296</v>
      </c>
      <c r="D18" s="19">
        <v>25536</v>
      </c>
      <c r="E18" s="19">
        <f>D18-C18</f>
        <v>25240</v>
      </c>
      <c r="F18" s="19">
        <v>8989</v>
      </c>
      <c r="G18" s="19">
        <v>18776</v>
      </c>
      <c r="H18" s="19">
        <v>6760</v>
      </c>
      <c r="I18" s="19">
        <f>G18+H18-C18-E18</f>
        <v>0</v>
      </c>
      <c r="J18" s="19">
        <f>C18-G18</f>
        <v>-18480</v>
      </c>
      <c r="K18" s="19"/>
    </row>
    <row r="19" ht="20.9" customHeight="1">
      <c r="B19" s="33"/>
      <c r="C19" s="18">
        <v>405</v>
      </c>
      <c r="D19" s="19">
        <v>25213</v>
      </c>
      <c r="E19" s="19">
        <f>D19-C19</f>
        <v>24808</v>
      </c>
      <c r="F19" s="19">
        <v>9394</v>
      </c>
      <c r="G19" s="19">
        <v>12765</v>
      </c>
      <c r="H19" s="19">
        <v>12448</v>
      </c>
      <c r="I19" s="19">
        <f>G19+H19-C19-E19</f>
        <v>0</v>
      </c>
      <c r="J19" s="19">
        <f>C19-G19</f>
        <v>-12360</v>
      </c>
      <c r="K19" s="19"/>
    </row>
    <row r="20" ht="20.9" customHeight="1">
      <c r="B20" s="34">
        <v>2019</v>
      </c>
      <c r="C20" s="18">
        <v>328</v>
      </c>
      <c r="D20" s="19">
        <v>25439</v>
      </c>
      <c r="E20" s="19">
        <f>D20-C20</f>
        <v>25111</v>
      </c>
      <c r="F20" s="19">
        <v>9857</v>
      </c>
      <c r="G20" s="19">
        <v>13415</v>
      </c>
      <c r="H20" s="19">
        <v>12023</v>
      </c>
      <c r="I20" s="19">
        <f>G20+H20-C20-E20</f>
        <v>-1</v>
      </c>
      <c r="J20" s="19">
        <f>C20-G20</f>
        <v>-13087</v>
      </c>
      <c r="K20" s="19"/>
    </row>
    <row r="21" ht="20.9" customHeight="1">
      <c r="B21" s="33"/>
      <c r="C21" s="18">
        <v>206</v>
      </c>
      <c r="D21" s="19">
        <v>25367</v>
      </c>
      <c r="E21" s="19">
        <f>D21-C21</f>
        <v>25161</v>
      </c>
      <c r="F21" s="19">
        <v>10322</v>
      </c>
      <c r="G21" s="19">
        <v>13986</v>
      </c>
      <c r="H21" s="19">
        <v>11381</v>
      </c>
      <c r="I21" s="19">
        <f>G21+H21-C21-E21</f>
        <v>0</v>
      </c>
      <c r="J21" s="19">
        <f>C21-G21</f>
        <v>-13780</v>
      </c>
      <c r="K21" s="19"/>
    </row>
    <row r="22" ht="20.9" customHeight="1">
      <c r="B22" s="33"/>
      <c r="C22" s="18">
        <v>368</v>
      </c>
      <c r="D22" s="19">
        <v>26747</v>
      </c>
      <c r="E22" s="19">
        <f>D22-C22</f>
        <v>26379</v>
      </c>
      <c r="F22" s="19">
        <f>10862+6553</f>
        <v>17415</v>
      </c>
      <c r="G22" s="19">
        <v>14563</v>
      </c>
      <c r="H22" s="19">
        <v>12184</v>
      </c>
      <c r="I22" s="19">
        <f>G22+H22-C22-E22</f>
        <v>0</v>
      </c>
      <c r="J22" s="19">
        <f>C22-G22</f>
        <v>-14195</v>
      </c>
      <c r="K22" s="19"/>
    </row>
    <row r="23" ht="20.9" customHeight="1">
      <c r="B23" s="33"/>
      <c r="C23" s="18">
        <v>197</v>
      </c>
      <c r="D23" s="19">
        <v>27650</v>
      </c>
      <c r="E23" s="19">
        <f>D23-C23</f>
        <v>27453</v>
      </c>
      <c r="F23" s="19">
        <f>11427+6928</f>
        <v>18355</v>
      </c>
      <c r="G23" s="19">
        <v>14915</v>
      </c>
      <c r="H23" s="19">
        <v>12735</v>
      </c>
      <c r="I23" s="19">
        <f>G23+H23-C23-E23</f>
        <v>0</v>
      </c>
      <c r="J23" s="19">
        <f>C23-G23</f>
        <v>-14718</v>
      </c>
      <c r="K23" s="24"/>
    </row>
    <row r="24" ht="20.9" customHeight="1">
      <c r="B24" s="34">
        <v>2020</v>
      </c>
      <c r="C24" s="18">
        <v>180</v>
      </c>
      <c r="D24" s="19">
        <v>33089</v>
      </c>
      <c r="E24" s="19">
        <f>D24-C24</f>
        <v>32909</v>
      </c>
      <c r="F24" s="19">
        <f>12251+7170</f>
        <v>19421</v>
      </c>
      <c r="G24" s="19">
        <v>22130.5</v>
      </c>
      <c r="H24" s="19">
        <v>10958.3</v>
      </c>
      <c r="I24" s="19">
        <f>G24+H24-C24-E24</f>
        <v>-0.2</v>
      </c>
      <c r="J24" s="19">
        <f>C24-G24</f>
        <v>-21950.5</v>
      </c>
      <c r="K24" s="24"/>
    </row>
    <row r="25" ht="20.9" customHeight="1">
      <c r="B25" s="33"/>
      <c r="C25" s="18">
        <v>349</v>
      </c>
      <c r="D25" s="19">
        <v>34769</v>
      </c>
      <c r="E25" s="19">
        <f>D25-C25</f>
        <v>34420</v>
      </c>
      <c r="F25" s="19">
        <f>13151+7414</f>
        <v>20565</v>
      </c>
      <c r="G25" s="19">
        <v>23256</v>
      </c>
      <c r="H25" s="19">
        <v>11513</v>
      </c>
      <c r="I25" s="19">
        <f>G25+H25-C25-E25</f>
        <v>0</v>
      </c>
      <c r="J25" s="19">
        <f>C25-G25</f>
        <v>-22907</v>
      </c>
      <c r="K25" s="24"/>
    </row>
    <row r="26" ht="20.9" customHeight="1">
      <c r="B26" s="33"/>
      <c r="C26" s="18">
        <v>820</v>
      </c>
      <c r="D26" s="19">
        <v>35801</v>
      </c>
      <c r="E26" s="19">
        <f>D26-C26</f>
        <v>34981</v>
      </c>
      <c r="F26" s="19">
        <f>14120+7463</f>
        <v>21583</v>
      </c>
      <c r="G26" s="19">
        <v>24817</v>
      </c>
      <c r="H26" s="19">
        <v>10984</v>
      </c>
      <c r="I26" s="19">
        <f>G26+H26-C26-E26</f>
        <v>0</v>
      </c>
      <c r="J26" s="19">
        <f>C26-G26</f>
        <v>-23997</v>
      </c>
      <c r="K26" s="24"/>
    </row>
    <row r="27" ht="20.9" customHeight="1">
      <c r="B27" s="33"/>
      <c r="C27" s="18">
        <v>654</v>
      </c>
      <c r="D27" s="19">
        <v>38684</v>
      </c>
      <c r="E27" s="19">
        <f>D27-C27</f>
        <v>38030</v>
      </c>
      <c r="F27" s="19">
        <f>14098+7499</f>
        <v>21597</v>
      </c>
      <c r="G27" s="19">
        <v>26318</v>
      </c>
      <c r="H27" s="19">
        <v>12366</v>
      </c>
      <c r="I27" s="19">
        <f>G27+H27-C27-E27</f>
        <v>0</v>
      </c>
      <c r="J27" s="19">
        <f>C27-G27</f>
        <v>-25664</v>
      </c>
      <c r="K27" s="24"/>
    </row>
    <row r="28" ht="20.9" customHeight="1">
      <c r="B28" s="34">
        <v>2021</v>
      </c>
      <c r="C28" s="18">
        <v>520</v>
      </c>
      <c r="D28" s="19">
        <v>38746</v>
      </c>
      <c r="E28" s="19">
        <f>D28-C28</f>
        <v>38226</v>
      </c>
      <c r="F28" s="19">
        <f>14786+7546</f>
        <v>22332</v>
      </c>
      <c r="G28" s="19">
        <v>26777</v>
      </c>
      <c r="H28" s="19">
        <v>11969</v>
      </c>
      <c r="I28" s="19">
        <f>G28+H28-C28-E28</f>
        <v>0</v>
      </c>
      <c r="J28" s="19">
        <f>C28-G28</f>
        <v>-26257</v>
      </c>
      <c r="K28" s="19"/>
    </row>
    <row r="29" ht="20.9" customHeight="1">
      <c r="B29" s="33"/>
      <c r="C29" s="18">
        <v>980</v>
      </c>
      <c r="D29" s="19">
        <v>41768</v>
      </c>
      <c r="E29" s="19">
        <f>D29-C29</f>
        <v>40788</v>
      </c>
      <c r="F29" s="19">
        <f>F28+'Sales'!E29</f>
        <v>23290</v>
      </c>
      <c r="G29" s="19">
        <v>29159</v>
      </c>
      <c r="H29" s="19">
        <v>12609</v>
      </c>
      <c r="I29" s="19">
        <f>G29+H29-C29-E29</f>
        <v>0</v>
      </c>
      <c r="J29" s="19">
        <f>C29-G29</f>
        <v>-28179</v>
      </c>
      <c r="K29" s="19"/>
    </row>
    <row r="30" ht="20.9" customHeight="1">
      <c r="B30" s="33"/>
      <c r="C30" s="18">
        <v>879</v>
      </c>
      <c r="D30" s="19">
        <v>41730</v>
      </c>
      <c r="E30" s="19">
        <f>D30-C30</f>
        <v>40851</v>
      </c>
      <c r="F30" s="19">
        <f>15698+7595</f>
        <v>23293</v>
      </c>
      <c r="G30" s="19">
        <v>29111</v>
      </c>
      <c r="H30" s="19">
        <v>12619</v>
      </c>
      <c r="I30" s="19">
        <f>G30+H30-C30-E30</f>
        <v>0</v>
      </c>
      <c r="J30" s="19">
        <f>C30-G30</f>
        <v>-28232</v>
      </c>
      <c r="K30" s="19">
        <f>J30</f>
        <v>-28232</v>
      </c>
    </row>
    <row r="31" ht="20.9" customHeight="1">
      <c r="B31" s="33"/>
      <c r="C31" s="18"/>
      <c r="D31" s="19"/>
      <c r="E31" s="19"/>
      <c r="F31" s="19"/>
      <c r="G31" s="19"/>
      <c r="H31" s="19"/>
      <c r="I31" s="19"/>
      <c r="J31" s="19"/>
      <c r="K31" s="19">
        <f>'Model'!F31</f>
        <v>-25306.88559512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99"/>
  <sheetViews>
    <sheetView workbookViewId="0" showGridLines="0" defaultGridColor="1"/>
  </sheetViews>
  <sheetFormatPr defaultColWidth="8.33333" defaultRowHeight="19.9" customHeight="1" outlineLevelRow="0" outlineLevelCol="0"/>
  <cols>
    <col min="1" max="1" width="9.72656" style="37" customWidth="1"/>
    <col min="2" max="2" width="9.35156" style="37" customWidth="1"/>
    <col min="3" max="4" width="9.60156" style="37" customWidth="1"/>
    <col min="5" max="16384" width="8.35156" style="37" customWidth="1"/>
  </cols>
  <sheetData>
    <row r="1" ht="20.5" customHeight="1"/>
    <row r="2" ht="27.65" customHeight="1">
      <c r="B2" t="s" s="2">
        <v>56</v>
      </c>
      <c r="C2" s="2"/>
      <c r="D2" s="2"/>
    </row>
    <row r="3" ht="20.25" customHeight="1">
      <c r="B3" t="s" s="38">
        <v>57</v>
      </c>
      <c r="C3" t="s" s="38">
        <v>58</v>
      </c>
      <c r="D3" t="s" s="38">
        <v>37</v>
      </c>
    </row>
    <row r="4" ht="20.25" customHeight="1">
      <c r="B4" s="39">
        <v>2014</v>
      </c>
      <c r="C4" s="40">
        <v>54</v>
      </c>
      <c r="D4" s="41"/>
    </row>
    <row r="5" ht="20.05" customHeight="1">
      <c r="B5" s="42"/>
      <c r="C5" s="43">
        <v>71</v>
      </c>
      <c r="D5" s="44"/>
    </row>
    <row r="6" ht="20.05" customHeight="1">
      <c r="B6" s="42"/>
      <c r="C6" s="43">
        <v>62</v>
      </c>
      <c r="D6" s="44"/>
    </row>
    <row r="7" ht="20.05" customHeight="1">
      <c r="B7" s="42"/>
      <c r="C7" s="43">
        <v>60</v>
      </c>
      <c r="D7" s="44"/>
    </row>
    <row r="8" ht="20.05" customHeight="1">
      <c r="B8" s="42"/>
      <c r="C8" s="43">
        <v>59</v>
      </c>
      <c r="D8" s="44"/>
    </row>
    <row r="9" ht="20.05" customHeight="1">
      <c r="B9" s="42"/>
      <c r="C9" s="43">
        <v>55</v>
      </c>
      <c r="D9" s="44"/>
    </row>
    <row r="10" ht="20.05" customHeight="1">
      <c r="B10" s="42"/>
      <c r="C10" s="43">
        <v>55</v>
      </c>
      <c r="D10" s="44"/>
    </row>
    <row r="11" ht="20.05" customHeight="1">
      <c r="B11" s="42"/>
      <c r="C11" s="43">
        <v>69</v>
      </c>
      <c r="D11" s="44"/>
    </row>
    <row r="12" ht="20.05" customHeight="1">
      <c r="B12" s="42"/>
      <c r="C12" s="43">
        <v>67</v>
      </c>
      <c r="D12" s="44"/>
    </row>
    <row r="13" ht="20.05" customHeight="1">
      <c r="B13" s="42"/>
      <c r="C13" s="43">
        <v>67</v>
      </c>
      <c r="D13" s="44"/>
    </row>
    <row r="14" ht="20.05" customHeight="1">
      <c r="B14" s="42"/>
      <c r="C14" s="43">
        <v>99</v>
      </c>
      <c r="D14" s="44"/>
    </row>
    <row r="15" ht="20.05" customHeight="1">
      <c r="B15" s="42"/>
      <c r="C15" s="43">
        <v>91</v>
      </c>
      <c r="D15" s="44"/>
    </row>
    <row r="16" ht="20.05" customHeight="1">
      <c r="B16" s="45">
        <v>2015</v>
      </c>
      <c r="C16" s="43">
        <v>83</v>
      </c>
      <c r="D16" s="44"/>
    </row>
    <row r="17" ht="20.05" customHeight="1">
      <c r="B17" s="42"/>
      <c r="C17" s="43">
        <v>79</v>
      </c>
      <c r="D17" s="44"/>
    </row>
    <row r="18" ht="20.05" customHeight="1">
      <c r="B18" s="42"/>
      <c r="C18" s="43">
        <v>65</v>
      </c>
      <c r="D18" s="44"/>
    </row>
    <row r="19" ht="20.05" customHeight="1">
      <c r="B19" s="42"/>
      <c r="C19" s="43">
        <v>72</v>
      </c>
      <c r="D19" s="44"/>
    </row>
    <row r="20" ht="20.05" customHeight="1">
      <c r="B20" s="42"/>
      <c r="C20" s="43">
        <v>71</v>
      </c>
      <c r="D20" s="44"/>
    </row>
    <row r="21" ht="20.05" customHeight="1">
      <c r="B21" s="42"/>
      <c r="C21" s="43">
        <v>61</v>
      </c>
      <c r="D21" s="44"/>
    </row>
    <row r="22" ht="20.05" customHeight="1">
      <c r="B22" s="42"/>
      <c r="C22" s="43">
        <v>53</v>
      </c>
      <c r="D22" s="44"/>
    </row>
    <row r="23" ht="20.05" customHeight="1">
      <c r="B23" s="42"/>
      <c r="C23" s="43">
        <v>52</v>
      </c>
      <c r="D23" s="44"/>
    </row>
    <row r="24" ht="20.05" customHeight="1">
      <c r="B24" s="42"/>
      <c r="C24" s="43">
        <v>51</v>
      </c>
      <c r="D24" s="44"/>
    </row>
    <row r="25" ht="20.05" customHeight="1">
      <c r="B25" s="42"/>
      <c r="C25" s="43">
        <v>50</v>
      </c>
      <c r="D25" s="44"/>
    </row>
    <row r="26" ht="20.05" customHeight="1">
      <c r="B26" s="42"/>
      <c r="C26" s="43">
        <v>50</v>
      </c>
      <c r="D26" s="44"/>
    </row>
    <row r="27" ht="20.05" customHeight="1">
      <c r="B27" s="42"/>
      <c r="C27" s="43">
        <v>51</v>
      </c>
      <c r="D27" s="44"/>
    </row>
    <row r="28" ht="20.05" customHeight="1">
      <c r="B28" s="45">
        <v>2016</v>
      </c>
      <c r="C28" s="43">
        <v>50</v>
      </c>
      <c r="D28" s="44"/>
    </row>
    <row r="29" ht="20.05" customHeight="1">
      <c r="B29" s="42"/>
      <c r="C29" s="43">
        <v>50</v>
      </c>
      <c r="D29" s="44"/>
    </row>
    <row r="30" ht="20.05" customHeight="1">
      <c r="B30" s="42"/>
      <c r="C30" s="43">
        <v>79</v>
      </c>
      <c r="D30" s="44"/>
    </row>
    <row r="31" ht="20.05" customHeight="1">
      <c r="B31" s="42"/>
      <c r="C31" s="43">
        <v>72</v>
      </c>
      <c r="D31" s="44"/>
    </row>
    <row r="32" ht="20.05" customHeight="1">
      <c r="B32" s="42"/>
      <c r="C32" s="43">
        <v>73</v>
      </c>
      <c r="D32" s="44"/>
    </row>
    <row r="33" ht="20.05" customHeight="1">
      <c r="B33" s="42"/>
      <c r="C33" s="43">
        <v>69</v>
      </c>
      <c r="D33" s="44"/>
    </row>
    <row r="34" ht="20.05" customHeight="1">
      <c r="B34" s="42"/>
      <c r="C34" s="43">
        <v>74</v>
      </c>
      <c r="D34" s="44"/>
    </row>
    <row r="35" ht="20.05" customHeight="1">
      <c r="B35" s="42"/>
      <c r="C35" s="43">
        <v>65</v>
      </c>
      <c r="D35" s="44"/>
    </row>
    <row r="36" ht="20.05" customHeight="1">
      <c r="B36" s="42"/>
      <c r="C36" s="43">
        <v>59</v>
      </c>
      <c r="D36" s="44"/>
    </row>
    <row r="37" ht="20.05" customHeight="1">
      <c r="B37" s="42"/>
      <c r="C37" s="43">
        <v>58</v>
      </c>
      <c r="D37" s="44"/>
    </row>
    <row r="38" ht="20.05" customHeight="1">
      <c r="B38" s="42"/>
      <c r="C38" s="43">
        <v>57</v>
      </c>
      <c r="D38" s="44"/>
    </row>
    <row r="39" ht="20.05" customHeight="1">
      <c r="B39" s="42"/>
      <c r="C39" s="43">
        <v>53</v>
      </c>
      <c r="D39" s="44"/>
    </row>
    <row r="40" ht="20.05" customHeight="1">
      <c r="B40" s="45">
        <v>2017</v>
      </c>
      <c r="C40" s="43">
        <v>61</v>
      </c>
      <c r="D40" s="44"/>
    </row>
    <row r="41" ht="20.05" customHeight="1">
      <c r="B41" s="42"/>
      <c r="C41" s="43">
        <v>50</v>
      </c>
      <c r="D41" s="44"/>
    </row>
    <row r="42" ht="20.05" customHeight="1">
      <c r="B42" s="42"/>
      <c r="C42" s="43">
        <v>54</v>
      </c>
      <c r="D42" s="44"/>
    </row>
    <row r="43" ht="20.05" customHeight="1">
      <c r="B43" s="42"/>
      <c r="C43" s="43">
        <v>52</v>
      </c>
      <c r="D43" s="44"/>
    </row>
    <row r="44" ht="20.05" customHeight="1">
      <c r="B44" s="42"/>
      <c r="C44" s="43">
        <v>50</v>
      </c>
      <c r="D44" s="44"/>
    </row>
    <row r="45" ht="20.05" customHeight="1">
      <c r="B45" s="42"/>
      <c r="C45" s="43">
        <v>50</v>
      </c>
      <c r="D45" s="44"/>
    </row>
    <row r="46" ht="20.05" customHeight="1">
      <c r="B46" s="42"/>
      <c r="C46" s="43">
        <v>50</v>
      </c>
      <c r="D46" s="44"/>
    </row>
    <row r="47" ht="20.05" customHeight="1">
      <c r="B47" s="42"/>
      <c r="C47" s="43">
        <v>50</v>
      </c>
      <c r="D47" s="44"/>
    </row>
    <row r="48" ht="20.05" customHeight="1">
      <c r="B48" s="42"/>
      <c r="C48" s="43">
        <v>50</v>
      </c>
      <c r="D48" s="44"/>
    </row>
    <row r="49" ht="20.05" customHeight="1">
      <c r="B49" s="42"/>
      <c r="C49" s="43">
        <v>50</v>
      </c>
      <c r="D49" s="44"/>
    </row>
    <row r="50" ht="20.05" customHeight="1">
      <c r="B50" s="42"/>
      <c r="C50" s="43">
        <v>50</v>
      </c>
      <c r="D50" s="44"/>
    </row>
    <row r="51" ht="20.05" customHeight="1">
      <c r="B51" s="42"/>
      <c r="C51" s="43">
        <v>50</v>
      </c>
      <c r="D51" s="44"/>
    </row>
    <row r="52" ht="20.05" customHeight="1">
      <c r="B52" s="45">
        <v>2018</v>
      </c>
      <c r="C52" s="43">
        <v>50</v>
      </c>
      <c r="D52" s="44"/>
    </row>
    <row r="53" ht="20.05" customHeight="1">
      <c r="B53" s="42"/>
      <c r="C53" s="43">
        <v>50</v>
      </c>
      <c r="D53" s="44"/>
    </row>
    <row r="54" ht="20.05" customHeight="1">
      <c r="B54" s="42"/>
      <c r="C54" s="43">
        <v>50</v>
      </c>
      <c r="D54" s="44"/>
    </row>
    <row r="55" ht="20.05" customHeight="1">
      <c r="B55" s="42"/>
      <c r="C55" s="43">
        <v>58</v>
      </c>
      <c r="D55" s="44"/>
    </row>
    <row r="56" ht="20.05" customHeight="1">
      <c r="B56" s="42"/>
      <c r="C56" s="43">
        <v>99</v>
      </c>
      <c r="D56" s="44"/>
    </row>
    <row r="57" ht="20.05" customHeight="1">
      <c r="B57" s="42"/>
      <c r="C57" s="43">
        <v>76</v>
      </c>
      <c r="D57" s="44"/>
    </row>
    <row r="58" ht="20.05" customHeight="1">
      <c r="B58" s="42"/>
      <c r="C58" s="43">
        <v>162</v>
      </c>
      <c r="D58" s="44"/>
    </row>
    <row r="59" ht="20.05" customHeight="1">
      <c r="B59" s="42"/>
      <c r="C59" s="43">
        <v>117</v>
      </c>
      <c r="D59" s="44"/>
    </row>
    <row r="60" ht="20.05" customHeight="1">
      <c r="B60" s="42"/>
      <c r="C60" s="43">
        <v>113</v>
      </c>
      <c r="D60" s="44"/>
    </row>
    <row r="61" ht="20.05" customHeight="1">
      <c r="B61" s="42"/>
      <c r="C61" s="43">
        <v>101</v>
      </c>
      <c r="D61" s="44"/>
    </row>
    <row r="62" ht="20.05" customHeight="1">
      <c r="B62" s="42"/>
      <c r="C62" s="43">
        <v>81</v>
      </c>
      <c r="D62" s="44"/>
    </row>
    <row r="63" ht="20.05" customHeight="1">
      <c r="B63" s="42"/>
      <c r="C63" s="43">
        <v>78</v>
      </c>
      <c r="D63" s="44"/>
    </row>
    <row r="64" ht="20.05" customHeight="1">
      <c r="B64" s="45">
        <v>2019</v>
      </c>
      <c r="C64" s="43">
        <v>147</v>
      </c>
      <c r="D64" s="44"/>
    </row>
    <row r="65" ht="20.05" customHeight="1">
      <c r="B65" s="42"/>
      <c r="C65" s="43">
        <v>284</v>
      </c>
      <c r="D65" s="44"/>
    </row>
    <row r="66" ht="20.05" customHeight="1">
      <c r="B66" s="42"/>
      <c r="C66" s="43">
        <v>310</v>
      </c>
      <c r="D66" s="44"/>
    </row>
    <row r="67" ht="20.05" customHeight="1">
      <c r="B67" s="42"/>
      <c r="C67" s="43">
        <v>312</v>
      </c>
      <c r="D67" s="44"/>
    </row>
    <row r="68" ht="20.05" customHeight="1">
      <c r="B68" s="42"/>
      <c r="C68" s="43">
        <v>284</v>
      </c>
      <c r="D68" s="44"/>
    </row>
    <row r="69" ht="20.05" customHeight="1">
      <c r="B69" s="42"/>
      <c r="C69" s="43">
        <v>320</v>
      </c>
      <c r="D69" s="44"/>
    </row>
    <row r="70" ht="20.05" customHeight="1">
      <c r="B70" s="42"/>
      <c r="C70" s="43">
        <v>173</v>
      </c>
      <c r="D70" s="44"/>
    </row>
    <row r="71" ht="20.05" customHeight="1">
      <c r="B71" s="42"/>
      <c r="C71" s="43">
        <v>134</v>
      </c>
      <c r="D71" s="44"/>
    </row>
    <row r="72" ht="20.05" customHeight="1">
      <c r="B72" s="42"/>
      <c r="C72" s="43">
        <v>170</v>
      </c>
      <c r="D72" s="44"/>
    </row>
    <row r="73" ht="20.05" customHeight="1">
      <c r="B73" s="42"/>
      <c r="C73" s="43">
        <v>149</v>
      </c>
      <c r="D73" s="44"/>
    </row>
    <row r="74" ht="20.05" customHeight="1">
      <c r="B74" s="42"/>
      <c r="C74" s="43">
        <v>125</v>
      </c>
      <c r="D74" s="44"/>
    </row>
    <row r="75" ht="20.05" customHeight="1">
      <c r="B75" s="42"/>
      <c r="C75" s="43">
        <v>138</v>
      </c>
      <c r="D75" s="44"/>
    </row>
    <row r="76" ht="20.05" customHeight="1">
      <c r="B76" s="45">
        <v>2020</v>
      </c>
      <c r="C76" s="43">
        <v>103</v>
      </c>
      <c r="D76" s="44"/>
    </row>
    <row r="77" ht="20.05" customHeight="1">
      <c r="B77" s="42"/>
      <c r="C77" s="43">
        <v>94</v>
      </c>
      <c r="D77" s="44"/>
    </row>
    <row r="78" ht="20.05" customHeight="1">
      <c r="B78" s="42"/>
      <c r="C78" s="43">
        <v>62</v>
      </c>
      <c r="D78" s="44"/>
    </row>
    <row r="79" ht="20.05" customHeight="1">
      <c r="B79" s="42"/>
      <c r="C79" s="43">
        <v>107</v>
      </c>
      <c r="D79" s="44"/>
    </row>
    <row r="80" ht="20.05" customHeight="1">
      <c r="B80" s="42"/>
      <c r="C80" s="43">
        <v>97</v>
      </c>
      <c r="D80" s="44"/>
    </row>
    <row r="81" ht="20.05" customHeight="1">
      <c r="B81" s="42"/>
      <c r="C81" s="43">
        <v>97</v>
      </c>
      <c r="D81" s="44"/>
    </row>
    <row r="82" ht="20.05" customHeight="1">
      <c r="B82" s="42"/>
      <c r="C82" s="46">
        <v>143</v>
      </c>
      <c r="D82" s="44"/>
    </row>
    <row r="83" ht="20.05" customHeight="1">
      <c r="B83" s="42"/>
      <c r="C83" s="46">
        <v>90</v>
      </c>
      <c r="D83" s="44"/>
    </row>
    <row r="84" ht="20.05" customHeight="1">
      <c r="B84" s="42"/>
      <c r="C84" s="46">
        <v>75</v>
      </c>
      <c r="D84" s="44"/>
    </row>
    <row r="85" ht="20.05" customHeight="1">
      <c r="B85" s="42"/>
      <c r="C85" s="46">
        <v>70</v>
      </c>
      <c r="D85" s="44"/>
    </row>
    <row r="86" ht="20.05" customHeight="1">
      <c r="B86" s="42"/>
      <c r="C86" s="46">
        <v>67</v>
      </c>
      <c r="D86" s="44"/>
    </row>
    <row r="87" ht="20.05" customHeight="1">
      <c r="B87" s="42"/>
      <c r="C87" s="46">
        <v>67</v>
      </c>
      <c r="D87" s="44"/>
    </row>
    <row r="88" ht="20.05" customHeight="1">
      <c r="B88" s="45">
        <v>2021</v>
      </c>
      <c r="C88" s="46">
        <v>54</v>
      </c>
      <c r="D88" s="44"/>
    </row>
    <row r="89" ht="20.05" customHeight="1">
      <c r="B89" s="42"/>
      <c r="C89" s="46">
        <v>77</v>
      </c>
      <c r="D89" s="44"/>
    </row>
    <row r="90" ht="20.05" customHeight="1">
      <c r="B90" s="42"/>
      <c r="C90" s="46">
        <v>77</v>
      </c>
      <c r="D90" s="44"/>
    </row>
    <row r="91" ht="20.05" customHeight="1">
      <c r="B91" s="42"/>
      <c r="C91" s="46">
        <v>84</v>
      </c>
      <c r="D91" s="44"/>
    </row>
    <row r="92" ht="20.05" customHeight="1">
      <c r="B92" s="42"/>
      <c r="C92" s="46">
        <v>86</v>
      </c>
      <c r="D92" s="44"/>
    </row>
    <row r="93" ht="20.05" customHeight="1">
      <c r="B93" s="42"/>
      <c r="C93" s="46">
        <v>118</v>
      </c>
      <c r="D93" s="44"/>
    </row>
    <row r="94" ht="20.05" customHeight="1">
      <c r="B94" s="42"/>
      <c r="C94" s="46">
        <v>150</v>
      </c>
      <c r="D94" s="44"/>
    </row>
    <row r="95" ht="20.05" customHeight="1">
      <c r="B95" s="42"/>
      <c r="C95" s="46">
        <v>134</v>
      </c>
      <c r="D95" s="44"/>
    </row>
    <row r="96" ht="20.05" customHeight="1">
      <c r="B96" s="42"/>
      <c r="C96" s="46">
        <v>112</v>
      </c>
      <c r="D96" s="44"/>
    </row>
    <row r="97" ht="20.05" customHeight="1">
      <c r="B97" s="42"/>
      <c r="C97" s="46">
        <v>108</v>
      </c>
      <c r="D97" s="44"/>
    </row>
    <row r="98" ht="20.05" customHeight="1">
      <c r="B98" s="42"/>
      <c r="C98" s="46">
        <v>102</v>
      </c>
      <c r="D98" s="47">
        <f>C98</f>
        <v>102</v>
      </c>
    </row>
    <row r="99" ht="20.05" customHeight="1">
      <c r="B99" s="42"/>
      <c r="C99" s="46"/>
      <c r="D99" s="47">
        <f>'Model'!F43</f>
        <v>137.833785448739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