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tock price " sheetId="5" r:id="rId8"/>
  </sheets>
</workbook>
</file>

<file path=xl/sharedStrings.xml><?xml version="1.0" encoding="utf-8"?>
<sst xmlns="http://schemas.openxmlformats.org/spreadsheetml/2006/main" uniqueCount="62">
  <si>
    <t>Financial model</t>
  </si>
  <si>
    <t>$m</t>
  </si>
  <si>
    <t>2H 2022</t>
  </si>
  <si>
    <t>Cashflow</t>
  </si>
  <si>
    <t>Growth</t>
  </si>
  <si>
    <t>Sales</t>
  </si>
  <si>
    <t>Cash costs ratio</t>
  </si>
  <si>
    <t>Cash costs</t>
  </si>
  <si>
    <t xml:space="preserve">Operating </t>
  </si>
  <si>
    <t xml:space="preserve">Investment 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</si>
  <si>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</si>
  <si>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</si>
  <si>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</si>
  <si>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</si>
  <si>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</si>
  <si>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 cash</t>
  </si>
  <si>
    <t>Change</t>
  </si>
  <si>
    <t xml:space="preserve">Ending cash </t>
  </si>
  <si>
    <t xml:space="preserve">Profit </t>
  </si>
  <si>
    <t xml:space="preserve">Non cash costs </t>
  </si>
  <si>
    <t xml:space="preserve">Net profit </t>
  </si>
  <si>
    <t>Balance sheet</t>
  </si>
  <si>
    <t xml:space="preserve">Other assets 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</si>
  <si>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</si>
  <si>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</si>
  <si>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</si>
  <si>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</si>
  <si>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</si>
  <si>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</si>
  <si>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>S$</t>
  </si>
  <si>
    <t xml:space="preserve">Capital </t>
  </si>
  <si>
    <t>Current value</t>
  </si>
  <si>
    <t>P/assets</t>
  </si>
  <si>
    <t>Yield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</si>
  <si>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</si>
  <si>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</si>
  <si>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</si>
  <si>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</si>
  <si>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</si>
  <si>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</si>
  <si>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</si>
  <si>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</si>
  <si>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forecast </t>
  </si>
  <si>
    <t xml:space="preserve">Sales growth </t>
  </si>
  <si>
    <t xml:space="preserve">Cost ratio </t>
  </si>
  <si>
    <t>Costs</t>
  </si>
  <si>
    <t>Non cash costs</t>
  </si>
  <si>
    <t xml:space="preserve">Working capital </t>
  </si>
  <si>
    <t xml:space="preserve">Finance </t>
  </si>
  <si>
    <t xml:space="preserve">Free cashflow </t>
  </si>
  <si>
    <t>Cash</t>
  </si>
  <si>
    <t>Assets</t>
  </si>
  <si>
    <t>Check</t>
  </si>
  <si>
    <t>Net cash</t>
  </si>
  <si>
    <t>Capital raised/paid</t>
  </si>
  <si>
    <t>Debt</t>
  </si>
  <si>
    <t>Total</t>
  </si>
  <si>
    <t>Capital paid/raised</t>
  </si>
  <si>
    <t>Next 12m</t>
  </si>
  <si>
    <t>Share price</t>
  </si>
  <si>
    <t>FR</t>
  </si>
  <si>
    <t xml:space="preserve">Previous 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</si>
</sst>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0.0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3"/>
      <name val="Helvetica Neue"/>
    </font>
    <font>
      <sz val="12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3" fontId="3" borderId="6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1" fontId="3" borderId="6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4" borderId="2" applyNumberFormat="1" applyFont="1" applyFill="1" applyBorder="1" applyAlignment="1" applyProtection="0">
      <alignment horizontal="right" vertical="top" wrapText="1"/>
    </xf>
    <xf numFmtId="0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horizontal="right" vertical="top" wrapText="1"/>
    </xf>
    <xf numFmtId="49" fontId="2" fillId="4" borderId="5" applyNumberFormat="1" applyFont="1" applyFill="1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2" fontId="0" borderId="3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2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4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fefefe"/>
      <rgbColor rgb="ffdbdbdb"/>
      <rgbColor rgb="ffb8b8b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32135"/>
          <c:y val="0.12368"/>
          <c:w val="0.823897"/>
          <c:h val="0.810337"/>
        </c:manualLayout>
      </c:layout>
      <c:lineChart>
        <c:grouping val="standard"/>
        <c:varyColors val="0"/>
        <c:ser>
          <c:idx val="0"/>
          <c:order val="0"/>
          <c:tx>
            <c:v>Region 1</c:v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17.000000</c:v>
              </c:pt>
              <c:pt idx="1">
                <c:v>26.000000</c:v>
              </c:pt>
              <c:pt idx="2">
                <c:v>53.000000</c:v>
              </c:pt>
              <c:pt idx="3">
                <c:v>96.000000</c:v>
              </c:pt>
            </c:numLit>
          </c:val>
          <c:smooth val="0"/>
        </c:ser>
        <c:ser>
          <c:idx val="1"/>
          <c:order val="1"/>
          <c:tx>
            <c:v>Region 2</c:v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55.000000</c:v>
              </c:pt>
              <c:pt idx="1">
                <c:v>43.000000</c:v>
              </c:pt>
              <c:pt idx="2">
                <c:v>70.000000</c:v>
              </c:pt>
              <c:pt idx="3">
                <c:v>58.000000</c:v>
              </c:pt>
            </c:numLit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25"/>
        <c:minorUnit val="12.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156095"/>
          <c:y val="0"/>
          <c:w val="0.930002"/>
          <c:h val="0.064066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4</xdr:col>
      <xdr:colOff>521515</xdr:colOff>
      <xdr:row>2</xdr:row>
      <xdr:rowOff>132171</xdr:rowOff>
    </xdr:from>
    <xdr:to>
      <xdr:col>11</xdr:col>
      <xdr:colOff>346118</xdr:colOff>
      <xdr:row>48</xdr:row>
      <xdr:rowOff>250623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3937815" y="1180556"/>
          <a:ext cx="8536804" cy="118367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19</xdr:col>
      <xdr:colOff>142450</xdr:colOff>
      <xdr:row>27</xdr:row>
      <xdr:rowOff>117188</xdr:rowOff>
    </xdr:from>
    <xdr:to>
      <xdr:col>21</xdr:col>
      <xdr:colOff>392967</xdr:colOff>
      <xdr:row>42</xdr:row>
      <xdr:rowOff>136238</xdr:rowOff>
    </xdr:to>
    <xdr:graphicFrame>
      <xdr:nvGraphicFramePr>
        <xdr:cNvPr id="4" name="2D Line Chart"/>
        <xdr:cNvGraphicFramePr/>
      </xdr:nvGraphicFramePr>
      <xdr:xfrm>
        <a:off x="17211250" y="7146638"/>
        <a:ext cx="2739718" cy="38100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05469" style="1" customWidth="1"/>
    <col min="2" max="2" width="14.7656" style="1" customWidth="1"/>
    <col min="3" max="4" width="10.5312" style="1" customWidth="1"/>
    <col min="5" max="16384" width="16.3516" style="1" customWidth="1"/>
  </cols>
  <sheetData>
    <row r="1" ht="54.9" customHeight="1"/>
    <row r="2" ht="27.65" customHeight="1">
      <c r="B2" t="s" s="2">
        <v>0</v>
      </c>
      <c r="C2" s="2"/>
      <c r="D2" s="2"/>
    </row>
    <row r="3" ht="20.25" customHeight="1">
      <c r="B3" t="s" s="3">
        <v>1</v>
      </c>
      <c r="C3" s="4"/>
      <c r="D3" t="s" s="5">
        <v>2</v>
      </c>
    </row>
    <row r="4" ht="20.25" customHeight="1">
      <c r="B4" t="s" s="6">
        <v>3</v>
      </c>
      <c r="C4" s="7"/>
      <c r="D4" s="8"/>
    </row>
    <row r="5" ht="20.05" customHeight="1">
      <c r="B5" t="s" s="9">
        <v>4</v>
      </c>
      <c r="C5" s="10">
        <v>0.07000000000000001</v>
      </c>
      <c r="D5" s="11">
        <v>0.1</v>
      </c>
    </row>
    <row r="6" ht="20.05" customHeight="1">
      <c r="B6" t="s" s="9">
        <v>5</v>
      </c>
      <c r="C6" s="12">
        <f>'Sales'!C17*(1+C5)</f>
        <v>662.758</v>
      </c>
      <c r="D6" s="13">
        <f>C6*(1+D5)</f>
        <v>729.0338</v>
      </c>
    </row>
    <row r="7" ht="20.05" customHeight="1">
      <c r="B7" t="s" s="9">
        <v>6</v>
      </c>
      <c r="C7" s="14">
        <f>AVERAGE('Sales'!I15:I17)</f>
        <v>-0.740022043130784</v>
      </c>
      <c r="D7" s="15">
        <f>C7</f>
        <v>-0.740022043130784</v>
      </c>
    </row>
    <row r="8" ht="20.05" customHeight="1">
      <c r="B8" t="s" s="9">
        <v>7</v>
      </c>
      <c r="C8" s="16">
        <f>C7*C6</f>
        <v>-490.455529261272</v>
      </c>
      <c r="D8" s="17">
        <f>D7*D6</f>
        <v>-539.501082187399</v>
      </c>
    </row>
    <row r="9" ht="20.05" customHeight="1">
      <c r="B9" t="s" s="9">
        <v>8</v>
      </c>
      <c r="C9" s="16">
        <f>C6+C8</f>
        <v>172.302470738728</v>
      </c>
      <c r="D9" s="17">
        <f>D6+D8</f>
        <v>189.532717812601</v>
      </c>
    </row>
    <row r="10" ht="20.05" customHeight="1">
      <c r="B10" t="s" s="9">
        <v>9</v>
      </c>
      <c r="C10" s="16">
        <f>AVERAGE('Cashflow'!F16)</f>
        <v>-20</v>
      </c>
      <c r="D10" s="17">
        <f>C10</f>
        <v>-20</v>
      </c>
    </row>
    <row r="11" ht="20.05" customHeight="1">
      <c r="B11" t="s" s="9">
        <v>10</v>
      </c>
      <c r="C11" s="16">
        <f>C12+C13+C15</f>
        <v>-71.1057412216184</v>
      </c>
      <c r="D11" s="17">
        <f>D12+D13+D15</f>
        <v>-74.7685653437803</v>
      </c>
    </row>
    <row r="12" ht="20.05" customHeight="1">
      <c r="B12" t="s" s="9">
        <v>11</v>
      </c>
      <c r="C12" s="16">
        <f>-'Balance sheet'!F16/20</f>
        <v>-30.125</v>
      </c>
      <c r="D12" s="17">
        <f>-C26/20</f>
        <v>-28.61875</v>
      </c>
    </row>
    <row r="13" ht="20.05" customHeight="1">
      <c r="B13" t="s" s="9">
        <v>12</v>
      </c>
      <c r="C13" s="16">
        <f>IF(C21&gt;0,-C21*0.3,0)</f>
        <v>-40.9807412216184</v>
      </c>
      <c r="D13" s="17">
        <f>IF(D21&gt;0,-D21*0.3,0)</f>
        <v>-46.1498153437803</v>
      </c>
    </row>
    <row r="14" ht="20.05" customHeight="1">
      <c r="B14" t="s" s="9">
        <v>13</v>
      </c>
      <c r="C14" s="16">
        <f>C16+C9+C10+C12+C13</f>
        <v>462.696729517110</v>
      </c>
      <c r="D14" s="17">
        <f>D16+D9+D10+D12+D13</f>
        <v>557.460881985931</v>
      </c>
    </row>
    <row r="15" ht="20.05" customHeight="1">
      <c r="B15" t="s" s="9">
        <v>14</v>
      </c>
      <c r="C15" s="16">
        <f>-MIN(0,C14)</f>
        <v>0</v>
      </c>
      <c r="D15" s="17">
        <f>-MIN(C27,D14)</f>
        <v>0</v>
      </c>
    </row>
    <row r="16" ht="20.05" customHeight="1">
      <c r="B16" t="s" s="9">
        <v>15</v>
      </c>
      <c r="C16" s="16">
        <f>'Balance sheet'!B16</f>
        <v>381.5</v>
      </c>
      <c r="D16" s="17">
        <f>C18</f>
        <v>462.696729517110</v>
      </c>
    </row>
    <row r="17" ht="20.05" customHeight="1">
      <c r="B17" t="s" s="9">
        <v>16</v>
      </c>
      <c r="C17" s="16">
        <f>C9+C10+C11</f>
        <v>81.1967295171096</v>
      </c>
      <c r="D17" s="17">
        <f>D9+D10+D11</f>
        <v>94.7641524688207</v>
      </c>
    </row>
    <row r="18" ht="20.05" customHeight="1">
      <c r="B18" t="s" s="9">
        <v>17</v>
      </c>
      <c r="C18" s="16">
        <f>C16+C17</f>
        <v>462.696729517110</v>
      </c>
      <c r="D18" s="17">
        <f>D16+D17</f>
        <v>557.460881985931</v>
      </c>
    </row>
    <row r="19" ht="20.05" customHeight="1">
      <c r="B19" t="s" s="18">
        <v>18</v>
      </c>
      <c r="C19" s="19"/>
      <c r="D19" s="20"/>
    </row>
    <row r="20" ht="20.05" customHeight="1">
      <c r="B20" t="s" s="9">
        <v>19</v>
      </c>
      <c r="C20" s="16">
        <f>-AVERAGE('Cashflow'!C17)</f>
        <v>-35.7</v>
      </c>
      <c r="D20" s="17">
        <f>C20</f>
        <v>-35.7</v>
      </c>
    </row>
    <row r="21" ht="20.05" customHeight="1">
      <c r="B21" t="s" s="9">
        <v>20</v>
      </c>
      <c r="C21" s="16">
        <f>C6+C8+C20</f>
        <v>136.602470738728</v>
      </c>
      <c r="D21" s="17">
        <f>D6+D8+D20</f>
        <v>153.832717812601</v>
      </c>
    </row>
    <row r="22" ht="20.05" customHeight="1">
      <c r="B22" t="s" s="18">
        <v>21</v>
      </c>
      <c r="C22" s="21"/>
      <c r="D22" s="17"/>
    </row>
    <row r="23" ht="20.05" customHeight="1">
      <c r="B23" t="s" s="9">
        <v>22</v>
      </c>
      <c r="C23" s="16">
        <f>'Balance sheet'!D16+'Balance sheet'!E16-C10</f>
        <v>1933.887</v>
      </c>
      <c r="D23" s="17">
        <f>C23-D10</f>
        <v>1953.887</v>
      </c>
    </row>
    <row r="24" ht="20.05" customHeight="1">
      <c r="B24" t="s" s="9">
        <v>23</v>
      </c>
      <c r="C24" s="16">
        <f>'Balance sheet'!E16-C20</f>
        <v>457.487</v>
      </c>
      <c r="D24" s="17">
        <f>C24-D20</f>
        <v>493.187</v>
      </c>
    </row>
    <row r="25" ht="20.05" customHeight="1">
      <c r="B25" t="s" s="9">
        <v>24</v>
      </c>
      <c r="C25" s="16">
        <f>C23-C24</f>
        <v>1476.4</v>
      </c>
      <c r="D25" s="17">
        <f>D23-D24</f>
        <v>1460.7</v>
      </c>
    </row>
    <row r="26" ht="20.05" customHeight="1">
      <c r="B26" t="s" s="9">
        <v>11</v>
      </c>
      <c r="C26" s="16">
        <f>'Balance sheet'!F16+C12</f>
        <v>572.375</v>
      </c>
      <c r="D26" s="17">
        <f>C26+D12</f>
        <v>543.75625</v>
      </c>
    </row>
    <row r="27" ht="20.05" customHeight="1">
      <c r="B27" t="s" s="9">
        <v>14</v>
      </c>
      <c r="C27" s="16">
        <f>C15</f>
        <v>0</v>
      </c>
      <c r="D27" s="17">
        <f>C27+D15</f>
        <v>0</v>
      </c>
    </row>
    <row r="28" ht="20.05" customHeight="1">
      <c r="B28" t="s" s="9">
        <v>25</v>
      </c>
      <c r="C28" s="16">
        <f>'Balance sheet'!G16+C21+C13</f>
        <v>1366.721729517110</v>
      </c>
      <c r="D28" s="17">
        <f>C28+D21+D13</f>
        <v>1474.404631985930</v>
      </c>
    </row>
    <row r="29" ht="20.05" customHeight="1">
      <c r="B29" t="s" s="9">
        <v>26</v>
      </c>
      <c r="C29" s="16">
        <f>C26+C27+C28-C18-C25</f>
        <v>0</v>
      </c>
      <c r="D29" s="17">
        <f>D26+D27+D28-D18-D25</f>
        <v>-1e-12</v>
      </c>
    </row>
    <row r="30" ht="20.05" customHeight="1">
      <c r="B30" t="s" s="9">
        <v>27</v>
      </c>
      <c r="C30" s="16">
        <f>C18-C26-C27</f>
        <v>-109.678270482890</v>
      </c>
      <c r="D30" s="17">
        <f>D18-D26-D27</f>
        <v>13.704631985931</v>
      </c>
    </row>
    <row r="31" ht="20.05" customHeight="1">
      <c r="B31" t="s" s="9">
        <v>28</v>
      </c>
      <c r="C31" s="16"/>
      <c r="D31" s="17"/>
    </row>
    <row r="32" ht="20.05" customHeight="1">
      <c r="B32" t="s" s="9">
        <v>29</v>
      </c>
      <c r="C32" s="16"/>
      <c r="D32" s="22">
        <v>1.36</v>
      </c>
    </row>
    <row r="33" ht="20.05" customHeight="1">
      <c r="B33" t="s" s="9">
        <v>30</v>
      </c>
      <c r="C33" s="16">
        <f>'Cashflow'!M17-C11</f>
        <v>593.505741221618</v>
      </c>
      <c r="D33" s="17">
        <f>C33-D11</f>
        <v>668.274306565398</v>
      </c>
    </row>
    <row r="34" ht="20.05" customHeight="1">
      <c r="B34" t="s" s="9">
        <v>31</v>
      </c>
      <c r="C34" s="16"/>
      <c r="D34" s="17">
        <v>2903004928</v>
      </c>
    </row>
    <row r="35" ht="20.05" customHeight="1">
      <c r="B35" t="s" s="9">
        <v>31</v>
      </c>
      <c r="C35" s="16"/>
      <c r="D35" s="17">
        <f>(D34/1000000)/D32</f>
        <v>2134.562447058820</v>
      </c>
    </row>
    <row r="36" ht="20.05" customHeight="1">
      <c r="B36" t="s" s="9">
        <v>32</v>
      </c>
      <c r="C36" s="16"/>
      <c r="D36" s="22">
        <f>D35/(D18+D25)</f>
        <v>1.05767704949189</v>
      </c>
    </row>
    <row r="37" ht="20.05" customHeight="1">
      <c r="B37" t="s" s="9">
        <v>33</v>
      </c>
      <c r="C37" s="16"/>
      <c r="D37" s="15">
        <f>-(C13+D13)/D35</f>
        <v>0.0408189306831733</v>
      </c>
    </row>
    <row r="38" ht="20.05" customHeight="1">
      <c r="B38" t="s" s="9">
        <v>3</v>
      </c>
      <c r="C38" s="16"/>
      <c r="D38" s="17">
        <f>SUM(C9:D10)</f>
        <v>321.835188551329</v>
      </c>
    </row>
    <row r="39" ht="20.05" customHeight="1">
      <c r="B39" t="s" s="9">
        <v>34</v>
      </c>
      <c r="C39" s="16"/>
      <c r="D39" s="17">
        <f>'Balance sheet'!D16/D38</f>
        <v>4.6362239216798</v>
      </c>
    </row>
    <row r="40" ht="20.05" customHeight="1">
      <c r="B40" t="s" s="9">
        <v>28</v>
      </c>
      <c r="C40" s="16"/>
      <c r="D40" s="17">
        <f>D35/D38</f>
        <v>6.63247066508509</v>
      </c>
    </row>
    <row r="41" ht="20.05" customHeight="1">
      <c r="B41" t="s" s="9">
        <v>35</v>
      </c>
      <c r="C41" s="16"/>
      <c r="D41" s="17">
        <v>16</v>
      </c>
    </row>
    <row r="42" ht="20.05" customHeight="1">
      <c r="B42" t="s" s="9">
        <v>36</v>
      </c>
      <c r="C42" s="16"/>
      <c r="D42" s="17">
        <f>D38*D41</f>
        <v>5149.363016821260</v>
      </c>
    </row>
    <row r="43" ht="20.05" customHeight="1">
      <c r="B43" t="s" s="9">
        <v>37</v>
      </c>
      <c r="C43" s="16"/>
      <c r="D43" s="17">
        <f>(D34/1000000)/D45</f>
        <v>1577.720069565220</v>
      </c>
    </row>
    <row r="44" ht="20.05" customHeight="1">
      <c r="B44" t="s" s="9">
        <v>38</v>
      </c>
      <c r="C44" s="16"/>
      <c r="D44" s="22">
        <f>D42/D43</f>
        <v>3.26380016084875</v>
      </c>
    </row>
    <row r="45" ht="20.05" customHeight="1">
      <c r="B45" t="s" s="9">
        <v>39</v>
      </c>
      <c r="C45" s="16"/>
      <c r="D45" s="22">
        <v>1.84</v>
      </c>
    </row>
    <row r="46" ht="20.05" customHeight="1">
      <c r="B46" t="s" s="9">
        <v>40</v>
      </c>
      <c r="C46" s="16"/>
      <c r="D46" s="15">
        <f>D44/D45-1</f>
        <v>0.773804435243886</v>
      </c>
    </row>
    <row r="47" ht="20.05" customHeight="1">
      <c r="B47" t="s" s="9">
        <v>41</v>
      </c>
      <c r="C47" s="16"/>
      <c r="D47" s="15">
        <f>'Sales'!C17/'Sales'!C15-1</f>
        <v>0.887263863497867</v>
      </c>
    </row>
    <row r="48" ht="20.05" customHeight="1">
      <c r="B48" t="s" s="9">
        <v>42</v>
      </c>
      <c r="C48" s="16"/>
      <c r="D48" s="15">
        <f>('Sales'!D15+'Sales'!D17+'Sales'!D16)/('Sales'!C15+'Sales'!C17+'Sales'!C16)-1</f>
        <v>-0.17878950463031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1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8438" style="23" customWidth="1"/>
    <col min="2" max="2" width="7.24219" style="23" customWidth="1"/>
    <col min="3" max="10" width="8.46875" style="23" customWidth="1"/>
    <col min="11" max="16384" width="16.3516" style="23" customWidth="1"/>
  </cols>
  <sheetData>
    <row r="1" ht="21.65" customHeight="1"/>
    <row r="2" ht="33.9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5">
        <v>1</v>
      </c>
      <c r="C3" t="s" s="5">
        <v>5</v>
      </c>
      <c r="D3" t="s" s="5">
        <v>35</v>
      </c>
      <c r="E3" t="s" s="5">
        <v>23</v>
      </c>
      <c r="F3" t="s" s="5">
        <v>20</v>
      </c>
      <c r="G3" t="s" s="5">
        <v>43</v>
      </c>
      <c r="H3" t="s" s="5">
        <v>44</v>
      </c>
      <c r="I3" t="s" s="5">
        <v>45</v>
      </c>
      <c r="J3" t="s" s="5">
        <v>35</v>
      </c>
    </row>
    <row r="4" ht="20.25" customHeight="1">
      <c r="B4" s="24">
        <v>2015</v>
      </c>
      <c r="C4" s="25">
        <v>215.1</v>
      </c>
      <c r="D4" s="26"/>
      <c r="E4" s="26">
        <v>25.1</v>
      </c>
      <c r="F4" s="26">
        <v>50.9</v>
      </c>
      <c r="G4" s="27"/>
      <c r="H4" s="27">
        <f>(E4+F4-C4)/C4</f>
        <v>-0.646675964667596</v>
      </c>
      <c r="I4" s="27"/>
      <c r="J4" s="27"/>
    </row>
    <row r="5" ht="20.05" customHeight="1">
      <c r="B5" s="28"/>
      <c r="C5" s="29">
        <v>238.6</v>
      </c>
      <c r="D5" s="20"/>
      <c r="E5" s="30">
        <v>24.9</v>
      </c>
      <c r="F5" s="30">
        <v>48.8</v>
      </c>
      <c r="G5" s="15">
        <f>C5/C4-1</f>
        <v>0.109251510925151</v>
      </c>
      <c r="H5" s="15">
        <f>(E5+F5-C5)/C5</f>
        <v>-0.6911148365465209</v>
      </c>
      <c r="I5" s="15"/>
      <c r="J5" s="15"/>
    </row>
    <row r="6" ht="20.05" customHeight="1">
      <c r="B6" s="31">
        <v>2016</v>
      </c>
      <c r="C6" s="29">
        <v>248.5</v>
      </c>
      <c r="D6" s="20"/>
      <c r="E6" s="30">
        <v>26.2</v>
      </c>
      <c r="F6" s="30">
        <v>32.8</v>
      </c>
      <c r="G6" s="15">
        <f>C6/C5-1</f>
        <v>0.0414920368818106</v>
      </c>
      <c r="H6" s="15">
        <f>(E6+F6-C6)/C6</f>
        <v>-0.762575452716298</v>
      </c>
      <c r="I6" s="15">
        <f>AVERAGE(H5:H6)</f>
        <v>-0.72684514463141</v>
      </c>
      <c r="J6" s="15"/>
    </row>
    <row r="7" ht="20.05" customHeight="1">
      <c r="B7" s="28"/>
      <c r="C7" s="29">
        <v>326.7</v>
      </c>
      <c r="D7" s="20"/>
      <c r="E7" s="30">
        <v>30.6</v>
      </c>
      <c r="F7" s="30">
        <v>99</v>
      </c>
      <c r="G7" s="15">
        <f>C7/C6-1</f>
        <v>0.314688128772636</v>
      </c>
      <c r="H7" s="15">
        <f>(E7+F7-C7)/C7</f>
        <v>-0.603305785123967</v>
      </c>
      <c r="I7" s="15">
        <f>AVERAGE(H6:H7)</f>
        <v>-0.682940618920133</v>
      </c>
      <c r="J7" s="15"/>
    </row>
    <row r="8" ht="20.05" customHeight="1">
      <c r="B8" s="31">
        <v>2017</v>
      </c>
      <c r="C8" s="29">
        <v>328.8</v>
      </c>
      <c r="D8" s="20"/>
      <c r="E8" s="30">
        <v>30.7</v>
      </c>
      <c r="F8" s="30">
        <v>75.09999999999999</v>
      </c>
      <c r="G8" s="15">
        <f>C8/C7-1</f>
        <v>0.00642791551882461</v>
      </c>
      <c r="H8" s="15">
        <f>(E8+F8-C8)/C8</f>
        <v>-0.678223844282238</v>
      </c>
      <c r="I8" s="15">
        <f>AVERAGE(H7:H8)</f>
        <v>-0.640764814703103</v>
      </c>
      <c r="J8" s="15"/>
    </row>
    <row r="9" ht="20.05" customHeight="1">
      <c r="B9" s="28"/>
      <c r="C9" s="29">
        <v>318.2</v>
      </c>
      <c r="D9" s="20"/>
      <c r="E9" s="30">
        <v>32.1</v>
      </c>
      <c r="F9" s="30">
        <v>70.09999999999999</v>
      </c>
      <c r="G9" s="15">
        <f>C9/C8-1</f>
        <v>-0.0322384428223844</v>
      </c>
      <c r="H9" s="15">
        <f>(E9+F9-C9)/C9</f>
        <v>-0.678818353236958</v>
      </c>
      <c r="I9" s="15">
        <f>AVERAGE(H8:H9)</f>
        <v>-0.678521098759598</v>
      </c>
      <c r="J9" s="15"/>
    </row>
    <row r="10" ht="20.05" customHeight="1">
      <c r="B10" s="31">
        <v>2018</v>
      </c>
      <c r="C10" s="29">
        <v>316.6</v>
      </c>
      <c r="D10" s="20"/>
      <c r="E10" s="30">
        <v>34.2</v>
      </c>
      <c r="F10" s="30">
        <v>67.8</v>
      </c>
      <c r="G10" s="15">
        <f>C10/C9-1</f>
        <v>-0.00502828409805154</v>
      </c>
      <c r="H10" s="15">
        <f>(E10+F10-C10)/C10</f>
        <v>-0.677826910928617</v>
      </c>
      <c r="I10" s="15">
        <f>AVERAGE(H9:H10)</f>
        <v>-0.678322632082788</v>
      </c>
      <c r="J10" s="15"/>
    </row>
    <row r="11" ht="20.05" customHeight="1">
      <c r="B11" s="28"/>
      <c r="C11" s="29">
        <v>316.9</v>
      </c>
      <c r="D11" s="20"/>
      <c r="E11" s="30">
        <v>33.1</v>
      </c>
      <c r="F11" s="30">
        <v>59.9</v>
      </c>
      <c r="G11" s="15">
        <f>C11/C10-1</f>
        <v>0.000947567909033481</v>
      </c>
      <c r="H11" s="15">
        <f>(E11+F11-C11)/C11</f>
        <v>-0.70653202903124</v>
      </c>
      <c r="I11" s="15">
        <f>AVERAGE(H10:H11)</f>
        <v>-0.692179469979929</v>
      </c>
      <c r="J11" s="15"/>
    </row>
    <row r="12" ht="20.05" customHeight="1">
      <c r="B12" s="31">
        <v>2019</v>
      </c>
      <c r="C12" s="29">
        <v>293</v>
      </c>
      <c r="D12" s="20"/>
      <c r="E12" s="30">
        <v>33.7</v>
      </c>
      <c r="F12" s="30">
        <v>30.3</v>
      </c>
      <c r="G12" s="15">
        <f>C12/C11-1</f>
        <v>-0.07541811296939099</v>
      </c>
      <c r="H12" s="15">
        <f>(E12+F12-C12)/C12</f>
        <v>-0.781569965870307</v>
      </c>
      <c r="I12" s="15">
        <f>AVERAGE(H11:H12)</f>
        <v>-0.744050997450774</v>
      </c>
      <c r="J12" s="15"/>
    </row>
    <row r="13" ht="20.05" customHeight="1">
      <c r="B13" s="28"/>
      <c r="C13" s="29">
        <v>321.9</v>
      </c>
      <c r="D13" s="20"/>
      <c r="E13" s="30">
        <v>37.3</v>
      </c>
      <c r="F13" s="30">
        <v>62.9</v>
      </c>
      <c r="G13" s="15">
        <f>C13/C12-1</f>
        <v>0.0986348122866894</v>
      </c>
      <c r="H13" s="15">
        <f>(E13+F13-C13)/C13</f>
        <v>-0.688723205964585</v>
      </c>
      <c r="I13" s="15">
        <f>AVERAGE(H12:H13)</f>
        <v>-0.735146585917446</v>
      </c>
      <c r="J13" s="15"/>
    </row>
    <row r="14" ht="20.05" customHeight="1">
      <c r="B14" s="31">
        <v>2020</v>
      </c>
      <c r="C14" s="32">
        <v>278.2</v>
      </c>
      <c r="D14" s="33"/>
      <c r="E14" s="33">
        <v>35.987</v>
      </c>
      <c r="F14" s="33">
        <v>45.6</v>
      </c>
      <c r="G14" s="11">
        <f>C14/C13-1</f>
        <v>-0.135756446101274</v>
      </c>
      <c r="H14" s="15">
        <f>(E14+F14-C14)/C14</f>
        <v>-0.706732566498922</v>
      </c>
      <c r="I14" s="15">
        <f>AVERAGE(H13:H14)</f>
        <v>-0.697727886231754</v>
      </c>
      <c r="J14" s="15"/>
    </row>
    <row r="15" ht="20.05" customHeight="1">
      <c r="B15" s="28"/>
      <c r="C15" s="32">
        <f>328.2</f>
        <v>328.2</v>
      </c>
      <c r="D15" s="33">
        <v>331.557</v>
      </c>
      <c r="E15" s="33">
        <v>35.9</v>
      </c>
      <c r="F15" s="33">
        <v>61.8</v>
      </c>
      <c r="G15" s="11">
        <f>C15/C14-1</f>
        <v>0.179726815240834</v>
      </c>
      <c r="H15" s="15">
        <f>(E15+F15-C15)/C15</f>
        <v>-0.702315661182206</v>
      </c>
      <c r="I15" s="15">
        <f>AVERAGE(H14:H15)</f>
        <v>-0.704524113840564</v>
      </c>
      <c r="J15" s="15"/>
    </row>
    <row r="16" ht="20.05" customHeight="1">
      <c r="B16" s="31">
        <v>2021</v>
      </c>
      <c r="C16" s="29">
        <v>413</v>
      </c>
      <c r="D16" s="33">
        <v>331.482</v>
      </c>
      <c r="E16" s="33">
        <v>42</v>
      </c>
      <c r="F16" s="33">
        <v>38.8</v>
      </c>
      <c r="G16" s="11">
        <f>C16/C15-1</f>
        <v>0.258379037172456</v>
      </c>
      <c r="H16" s="15">
        <f>(E16+F16-C16)/C16</f>
        <v>-0.804358353510896</v>
      </c>
      <c r="I16" s="15">
        <f>AVERAGE(H15:H16)</f>
        <v>-0.753337007346551</v>
      </c>
      <c r="J16" s="15"/>
    </row>
    <row r="17" ht="20.05" customHeight="1">
      <c r="B17" s="28"/>
      <c r="C17" s="32">
        <v>619.4</v>
      </c>
      <c r="D17" s="30">
        <v>454.3</v>
      </c>
      <c r="E17" s="33"/>
      <c r="F17" s="33">
        <v>137.7</v>
      </c>
      <c r="G17" s="11">
        <f>C17/C16-1</f>
        <v>0.499757869249395</v>
      </c>
      <c r="H17" s="15">
        <f>(F17+'Cashflow'!C17-C17)/C17</f>
        <v>-0.72005166289958</v>
      </c>
      <c r="I17" s="15">
        <f>AVERAGE(H16:H17)</f>
        <v>-0.762205008205238</v>
      </c>
      <c r="J17" s="15">
        <f>I17</f>
        <v>-0.762205008205238</v>
      </c>
    </row>
    <row r="18" ht="20.05" customHeight="1">
      <c r="B18" s="31">
        <v>2022</v>
      </c>
      <c r="C18" s="32"/>
      <c r="D18" s="30">
        <f>'Model'!C6</f>
        <v>662.758</v>
      </c>
      <c r="E18" s="33"/>
      <c r="F18" s="33"/>
      <c r="G18" s="11"/>
      <c r="H18" s="11"/>
      <c r="I18" s="20"/>
      <c r="J18" s="15">
        <f>'Model'!C7</f>
        <v>-0.740022043130784</v>
      </c>
    </row>
    <row r="19" ht="20.05" customHeight="1">
      <c r="B19" s="28"/>
      <c r="C19" s="32"/>
      <c r="D19" s="33">
        <f>'Model'!D6</f>
        <v>729.0338</v>
      </c>
      <c r="E19" s="33"/>
      <c r="F19" s="33"/>
      <c r="G19" s="11"/>
      <c r="H19" s="11"/>
      <c r="I19" s="11"/>
      <c r="J19" s="11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N1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25781" style="34" customWidth="1"/>
    <col min="2" max="2" width="10.9609" style="34" customWidth="1"/>
    <col min="3" max="14" width="10.5312" style="34" customWidth="1"/>
    <col min="15" max="16384" width="16.3516" style="34" customWidth="1"/>
  </cols>
  <sheetData>
    <row r="1" ht="13.5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2.25" customHeight="1">
      <c r="B3" t="s" s="5">
        <v>1</v>
      </c>
      <c r="C3" t="s" s="5">
        <v>46</v>
      </c>
      <c r="D3" t="s" s="5">
        <v>47</v>
      </c>
      <c r="E3" t="s" s="5">
        <v>8</v>
      </c>
      <c r="F3" t="s" s="5">
        <v>9</v>
      </c>
      <c r="G3" t="s" s="5">
        <v>11</v>
      </c>
      <c r="H3" t="s" s="5">
        <v>25</v>
      </c>
      <c r="I3" t="s" s="5">
        <v>48</v>
      </c>
      <c r="J3" t="s" s="5">
        <v>49</v>
      </c>
      <c r="K3" t="s" s="5">
        <v>3</v>
      </c>
      <c r="L3" t="s" s="5">
        <v>35</v>
      </c>
      <c r="M3" t="s" s="5">
        <v>30</v>
      </c>
      <c r="N3" t="s" s="5">
        <v>35</v>
      </c>
    </row>
    <row r="4" ht="20.25" customHeight="1">
      <c r="B4" s="24">
        <v>2015</v>
      </c>
      <c r="C4" s="35"/>
      <c r="D4" s="36"/>
      <c r="E4" s="36">
        <v>40.1</v>
      </c>
      <c r="F4" s="36">
        <v>-61.6</v>
      </c>
      <c r="G4" s="36"/>
      <c r="H4" s="36"/>
      <c r="I4" s="36">
        <v>-69.3</v>
      </c>
      <c r="J4" s="36">
        <f>E4+F4</f>
        <v>-21.5</v>
      </c>
      <c r="K4" s="36">
        <f>AVERAGE(J3:J4)</f>
        <v>-21.5</v>
      </c>
      <c r="L4" s="36"/>
      <c r="M4" s="36">
        <f>-I4</f>
        <v>69.3</v>
      </c>
      <c r="N4" s="36"/>
    </row>
    <row r="5" ht="20.05" customHeight="1">
      <c r="B5" s="28"/>
      <c r="C5" s="16"/>
      <c r="D5" s="17"/>
      <c r="E5" s="17">
        <v>30.7</v>
      </c>
      <c r="F5" s="17">
        <v>-127.1</v>
      </c>
      <c r="G5" s="17"/>
      <c r="H5" s="17"/>
      <c r="I5" s="17">
        <v>-40.2</v>
      </c>
      <c r="J5" s="17">
        <f>E5+F5</f>
        <v>-96.40000000000001</v>
      </c>
      <c r="K5" s="17">
        <f>AVERAGE(J4:J5)</f>
        <v>-58.95</v>
      </c>
      <c r="L5" s="17"/>
      <c r="M5" s="17">
        <f>-I5+M4</f>
        <v>109.5</v>
      </c>
      <c r="N5" s="17"/>
    </row>
    <row r="6" ht="20.05" customHeight="1">
      <c r="B6" s="31">
        <v>2016</v>
      </c>
      <c r="C6" s="16"/>
      <c r="D6" s="17"/>
      <c r="E6" s="17">
        <v>28.2</v>
      </c>
      <c r="F6" s="17">
        <v>-36.8</v>
      </c>
      <c r="G6" s="17"/>
      <c r="H6" s="17"/>
      <c r="I6" s="17">
        <v>9.4</v>
      </c>
      <c r="J6" s="17">
        <f>E6+F6</f>
        <v>-8.6</v>
      </c>
      <c r="K6" s="17">
        <f>AVERAGE(J5:J6)</f>
        <v>-52.5</v>
      </c>
      <c r="L6" s="17"/>
      <c r="M6" s="17">
        <f>-I6+M5</f>
        <v>100.1</v>
      </c>
      <c r="N6" s="17"/>
    </row>
    <row r="7" ht="20.05" customHeight="1">
      <c r="B7" s="28"/>
      <c r="C7" s="16"/>
      <c r="D7" s="17"/>
      <c r="E7" s="17">
        <v>158.4</v>
      </c>
      <c r="F7" s="17">
        <v>-44.2</v>
      </c>
      <c r="G7" s="17"/>
      <c r="H7" s="17"/>
      <c r="I7" s="17">
        <v>-69.2</v>
      </c>
      <c r="J7" s="17">
        <f>E7+F7</f>
        <v>114.2</v>
      </c>
      <c r="K7" s="17">
        <f>AVERAGE(J6:J7)</f>
        <v>52.8</v>
      </c>
      <c r="L7" s="17"/>
      <c r="M7" s="17">
        <f>-I7+M6</f>
        <v>169.3</v>
      </c>
      <c r="N7" s="17"/>
    </row>
    <row r="8" ht="20.05" customHeight="1">
      <c r="B8" s="31">
        <v>2017</v>
      </c>
      <c r="C8" s="16"/>
      <c r="D8" s="17"/>
      <c r="E8" s="17">
        <v>110.9</v>
      </c>
      <c r="F8" s="17">
        <v>-37.2</v>
      </c>
      <c r="G8" s="17"/>
      <c r="H8" s="17"/>
      <c r="I8" s="17">
        <v>-10.3</v>
      </c>
      <c r="J8" s="17">
        <f>E8+F8</f>
        <v>73.7</v>
      </c>
      <c r="K8" s="17">
        <f>AVERAGE(J7:J8)</f>
        <v>93.95</v>
      </c>
      <c r="L8" s="17"/>
      <c r="M8" s="17">
        <f>-I8+M7</f>
        <v>179.6</v>
      </c>
      <c r="N8" s="17"/>
    </row>
    <row r="9" ht="20.05" customHeight="1">
      <c r="B9" s="28"/>
      <c r="C9" s="16"/>
      <c r="D9" s="17"/>
      <c r="E9" s="17">
        <v>120.8</v>
      </c>
      <c r="F9" s="17">
        <v>-55.8</v>
      </c>
      <c r="G9" s="17"/>
      <c r="H9" s="17"/>
      <c r="I9" s="17">
        <v>-2</v>
      </c>
      <c r="J9" s="17">
        <f>E9+F9</f>
        <v>65</v>
      </c>
      <c r="K9" s="17">
        <f>AVERAGE(J8:J9)</f>
        <v>69.34999999999999</v>
      </c>
      <c r="L9" s="17"/>
      <c r="M9" s="17">
        <f>-I9+M8</f>
        <v>181.6</v>
      </c>
      <c r="N9" s="17"/>
    </row>
    <row r="10" ht="20.05" customHeight="1">
      <c r="B10" s="31">
        <v>2018</v>
      </c>
      <c r="C10" s="16"/>
      <c r="D10" s="17"/>
      <c r="E10" s="17">
        <v>48.4</v>
      </c>
      <c r="F10" s="17">
        <v>-28.4</v>
      </c>
      <c r="G10" s="17"/>
      <c r="H10" s="17"/>
      <c r="I10" s="17">
        <v>-162.9</v>
      </c>
      <c r="J10" s="17">
        <f>E10+F10</f>
        <v>20</v>
      </c>
      <c r="K10" s="17">
        <f>AVERAGE(J9:J10)</f>
        <v>42.5</v>
      </c>
      <c r="L10" s="17"/>
      <c r="M10" s="17">
        <f>-I10+M9</f>
        <v>344.5</v>
      </c>
      <c r="N10" s="17"/>
    </row>
    <row r="11" ht="20.05" customHeight="1">
      <c r="B11" s="28"/>
      <c r="C11" s="16"/>
      <c r="D11" s="17"/>
      <c r="E11" s="17">
        <v>64</v>
      </c>
      <c r="F11" s="17">
        <v>-65.5</v>
      </c>
      <c r="G11" s="17"/>
      <c r="H11" s="17"/>
      <c r="I11" s="17">
        <v>-34.1</v>
      </c>
      <c r="J11" s="17">
        <f>E11+F11</f>
        <v>-1.5</v>
      </c>
      <c r="K11" s="17">
        <f>AVERAGE(J10:J11)</f>
        <v>9.25</v>
      </c>
      <c r="L11" s="17"/>
      <c r="M11" s="17">
        <f>-I11+M10</f>
        <v>378.6</v>
      </c>
      <c r="N11" s="17"/>
    </row>
    <row r="12" ht="20.05" customHeight="1">
      <c r="B12" s="31">
        <v>2019</v>
      </c>
      <c r="C12" s="16"/>
      <c r="D12" s="17"/>
      <c r="E12" s="17">
        <v>40</v>
      </c>
      <c r="F12" s="17">
        <v>-49</v>
      </c>
      <c r="G12" s="17"/>
      <c r="H12" s="17"/>
      <c r="I12" s="17">
        <v>-2.9</v>
      </c>
      <c r="J12" s="17">
        <f>E12+F12</f>
        <v>-9</v>
      </c>
      <c r="K12" s="17">
        <f>AVERAGE(J11:J12)</f>
        <v>-5.25</v>
      </c>
      <c r="L12" s="17"/>
      <c r="M12" s="17">
        <f>-I12+M11</f>
        <v>381.5</v>
      </c>
      <c r="N12" s="17"/>
    </row>
    <row r="13" ht="20.05" customHeight="1">
      <c r="B13" s="28"/>
      <c r="C13" s="16"/>
      <c r="D13" s="17"/>
      <c r="E13" s="17">
        <v>92.2</v>
      </c>
      <c r="F13" s="17">
        <v>-71.59999999999999</v>
      </c>
      <c r="G13" s="17"/>
      <c r="H13" s="17"/>
      <c r="I13" s="17">
        <v>-5.4</v>
      </c>
      <c r="J13" s="17">
        <f>E13+F13</f>
        <v>20.6</v>
      </c>
      <c r="K13" s="17">
        <f>AVERAGE(J12:J13)</f>
        <v>5.8</v>
      </c>
      <c r="L13" s="17"/>
      <c r="M13" s="17">
        <f>-I13+M12</f>
        <v>386.9</v>
      </c>
      <c r="N13" s="17"/>
    </row>
    <row r="14" ht="20.05" customHeight="1">
      <c r="B14" s="31">
        <v>2020</v>
      </c>
      <c r="C14" s="32"/>
      <c r="D14" s="33"/>
      <c r="E14" s="33">
        <v>92.40000000000001</v>
      </c>
      <c r="F14" s="33">
        <v>-44.5</v>
      </c>
      <c r="G14" s="33"/>
      <c r="H14" s="33"/>
      <c r="I14" s="33">
        <v>21.1</v>
      </c>
      <c r="J14" s="17">
        <f>E14+F14</f>
        <v>47.9</v>
      </c>
      <c r="K14" s="17">
        <f>AVERAGE(J13:J14)</f>
        <v>34.25</v>
      </c>
      <c r="L14" s="17"/>
      <c r="M14" s="17">
        <f>-I14+M13</f>
        <v>365.8</v>
      </c>
      <c r="N14" s="17"/>
    </row>
    <row r="15" ht="20.05" customHeight="1">
      <c r="B15" s="28"/>
      <c r="C15" s="16"/>
      <c r="D15" s="17"/>
      <c r="E15" s="17">
        <f>100</f>
        <v>100</v>
      </c>
      <c r="F15" s="17">
        <v>7.3</v>
      </c>
      <c r="G15" s="17"/>
      <c r="H15" s="17"/>
      <c r="I15" s="17">
        <v>-44.3</v>
      </c>
      <c r="J15" s="17">
        <f>E15+F15</f>
        <v>107.3</v>
      </c>
      <c r="K15" s="17">
        <f>AVERAGE(J14:J15)</f>
        <v>77.59999999999999</v>
      </c>
      <c r="L15" s="17"/>
      <c r="M15" s="17">
        <f>-I15+M14</f>
        <v>410.1</v>
      </c>
      <c r="N15" s="17"/>
    </row>
    <row r="16" ht="20.05" customHeight="1">
      <c r="B16" s="31">
        <v>2021</v>
      </c>
      <c r="C16" s="16"/>
      <c r="D16" s="17"/>
      <c r="E16" s="17">
        <v>85</v>
      </c>
      <c r="F16" s="17">
        <v>-20</v>
      </c>
      <c r="G16" s="17"/>
      <c r="H16" s="17"/>
      <c r="I16" s="17">
        <v>-63</v>
      </c>
      <c r="J16" s="17">
        <f>E16+F16</f>
        <v>65</v>
      </c>
      <c r="K16" s="17">
        <f>AVERAGE(J15:J16)</f>
        <v>86.15000000000001</v>
      </c>
      <c r="L16" s="17"/>
      <c r="M16" s="17">
        <f>-I16+M15</f>
        <v>473.1</v>
      </c>
      <c r="N16" s="17"/>
    </row>
    <row r="17" ht="20.05" customHeight="1">
      <c r="B17" s="28"/>
      <c r="C17" s="16">
        <f>E17-D17-'Sales'!F17</f>
        <v>35.7</v>
      </c>
      <c r="D17" s="17">
        <f>18.5-25.6+34.9+6</f>
        <v>33.8</v>
      </c>
      <c r="E17" s="17">
        <v>207.2</v>
      </c>
      <c r="F17" s="17">
        <v>18.7</v>
      </c>
      <c r="G17" s="17">
        <f>147.6-56.7-122.7</f>
        <v>-31.8</v>
      </c>
      <c r="H17" s="17">
        <f>-16.8-0.7</f>
        <v>-17.5</v>
      </c>
      <c r="I17" s="17">
        <v>-37.1</v>
      </c>
      <c r="J17" s="17">
        <f>E17+F17</f>
        <v>225.9</v>
      </c>
      <c r="K17" s="17">
        <f>AVERAGE(J16:J17)</f>
        <v>145.45</v>
      </c>
      <c r="L17" s="17">
        <f>K17</f>
        <v>145.45</v>
      </c>
      <c r="M17" s="17">
        <f>-(G17+H17)+M16</f>
        <v>522.4</v>
      </c>
      <c r="N17" s="17">
        <f>M17</f>
        <v>522.4</v>
      </c>
    </row>
    <row r="18" ht="20.05" customHeight="1">
      <c r="B18" s="31">
        <v>2022</v>
      </c>
      <c r="C18" s="16"/>
      <c r="D18" s="17"/>
      <c r="E18" s="17"/>
      <c r="F18" s="17"/>
      <c r="G18" s="17"/>
      <c r="H18" s="17"/>
      <c r="I18" s="17"/>
      <c r="J18" s="17"/>
      <c r="K18" s="20"/>
      <c r="L18" s="17">
        <f>SUM('Model'!D9:D10)</f>
        <v>169.532717812601</v>
      </c>
      <c r="M18" s="20"/>
      <c r="N18" s="17">
        <f>'Model'!D33</f>
        <v>668.274306565398</v>
      </c>
    </row>
  </sheetData>
  <mergeCells count="1">
    <mergeCell ref="B2:N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P3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6.63281" style="37" customWidth="1"/>
    <col min="2" max="10" width="8.67969" style="37" customWidth="1"/>
    <col min="11" max="11" width="11.8125" style="38" customWidth="1"/>
    <col min="12" max="13" width="9.79688" style="38" customWidth="1"/>
    <col min="14" max="16" width="10.8047" style="38" customWidth="1"/>
    <col min="17" max="16384" width="16.3516" style="38" customWidth="1"/>
  </cols>
  <sheetData>
    <row r="1" ht="27.65" customHeight="1">
      <c r="A1" t="s" s="2">
        <v>21</v>
      </c>
      <c r="B1" s="2"/>
      <c r="C1" s="2"/>
      <c r="D1" s="2"/>
      <c r="E1" s="2"/>
      <c r="F1" s="2"/>
      <c r="G1" s="2"/>
      <c r="H1" s="2"/>
      <c r="I1" s="2"/>
      <c r="J1" s="2"/>
    </row>
    <row r="2" ht="32.2" customHeight="1">
      <c r="A2" t="s" s="5">
        <v>1</v>
      </c>
      <c r="B2" t="s" s="5">
        <v>50</v>
      </c>
      <c r="C2" t="s" s="5">
        <v>51</v>
      </c>
      <c r="D2" t="s" s="5">
        <v>22</v>
      </c>
      <c r="E2" t="s" s="5">
        <v>23</v>
      </c>
      <c r="F2" t="s" s="5">
        <v>11</v>
      </c>
      <c r="G2" t="s" s="5">
        <v>25</v>
      </c>
      <c r="H2" t="s" s="5">
        <v>52</v>
      </c>
      <c r="I2" t="s" s="5">
        <v>53</v>
      </c>
      <c r="J2" t="s" s="5">
        <v>35</v>
      </c>
    </row>
    <row r="3" ht="20.05" customHeight="1">
      <c r="A3" s="24">
        <v>2015</v>
      </c>
      <c r="B3" s="35">
        <v>199.4</v>
      </c>
      <c r="C3" s="36">
        <v>1913.1</v>
      </c>
      <c r="D3" s="36">
        <f>C3-B3</f>
        <v>1713.7</v>
      </c>
      <c r="E3" s="36">
        <f>'Sales'!E4</f>
        <v>25.1</v>
      </c>
      <c r="F3" s="36">
        <v>856.1</v>
      </c>
      <c r="G3" s="36">
        <v>1056.9</v>
      </c>
      <c r="H3" s="36">
        <f>F3+G3-B3-D3</f>
        <v>-0.1</v>
      </c>
      <c r="I3" s="36">
        <f>B3-F3</f>
        <v>-656.7</v>
      </c>
      <c r="J3" s="36"/>
    </row>
    <row r="4" ht="20.05" customHeight="1">
      <c r="A4" s="28"/>
      <c r="B4" s="16">
        <v>61.9</v>
      </c>
      <c r="C4" s="17">
        <v>1926.9</v>
      </c>
      <c r="D4" s="17">
        <f>C4-B4</f>
        <v>1865</v>
      </c>
      <c r="E4" s="17">
        <f>E3+'Sales'!E5</f>
        <v>50</v>
      </c>
      <c r="F4" s="17">
        <v>881.5</v>
      </c>
      <c r="G4" s="17">
        <v>1045.4</v>
      </c>
      <c r="H4" s="17">
        <f>F4+G4-B4-D4</f>
        <v>0</v>
      </c>
      <c r="I4" s="17">
        <f>B4-F4</f>
        <v>-819.6</v>
      </c>
      <c r="J4" s="17"/>
    </row>
    <row r="5" ht="20.05" customHeight="1">
      <c r="A5" s="31">
        <v>2016</v>
      </c>
      <c r="B5" s="16">
        <v>63.2</v>
      </c>
      <c r="C5" s="17">
        <v>1654</v>
      </c>
      <c r="D5" s="17">
        <f>C5-B5</f>
        <v>1590.8</v>
      </c>
      <c r="E5" s="17">
        <f>E4+'Sales'!E6</f>
        <v>76.2</v>
      </c>
      <c r="F5" s="17">
        <v>807.4</v>
      </c>
      <c r="G5" s="17">
        <v>846.5</v>
      </c>
      <c r="H5" s="17">
        <f>F5+G5-B5-D5</f>
        <v>-0.1</v>
      </c>
      <c r="I5" s="17">
        <f>B5-F5</f>
        <v>-744.2</v>
      </c>
      <c r="J5" s="17"/>
    </row>
    <row r="6" ht="20.05" customHeight="1">
      <c r="A6" s="28"/>
      <c r="B6" s="16">
        <v>107.9</v>
      </c>
      <c r="C6" s="17">
        <v>1699.5</v>
      </c>
      <c r="D6" s="17">
        <f>C6-B6</f>
        <v>1591.6</v>
      </c>
      <c r="E6" s="17">
        <f>E5+'Sales'!E7</f>
        <v>106.8</v>
      </c>
      <c r="F6" s="17">
        <v>773.4</v>
      </c>
      <c r="G6" s="17">
        <v>926.2</v>
      </c>
      <c r="H6" s="17">
        <f>F6+G6-B6-D6</f>
        <v>0.1</v>
      </c>
      <c r="I6" s="17">
        <f>B6-F6</f>
        <v>-665.5</v>
      </c>
      <c r="J6" s="17"/>
    </row>
    <row r="7" ht="20.05" customHeight="1">
      <c r="A7" s="31">
        <v>2017</v>
      </c>
      <c r="B7" s="16">
        <v>171.6</v>
      </c>
      <c r="C7" s="17">
        <v>1748.5</v>
      </c>
      <c r="D7" s="17">
        <f>C7-B7</f>
        <v>1576.9</v>
      </c>
      <c r="E7" s="17">
        <f>E6+'Sales'!E8</f>
        <v>137.5</v>
      </c>
      <c r="F7" s="17">
        <v>761.2</v>
      </c>
      <c r="G7" s="17">
        <v>987.2</v>
      </c>
      <c r="H7" s="17">
        <f>F7+G7-B7-D7</f>
        <v>-0.1</v>
      </c>
      <c r="I7" s="17">
        <f>B7-F7</f>
        <v>-589.6</v>
      </c>
      <c r="J7" s="17"/>
    </row>
    <row r="8" ht="20.05" customHeight="1">
      <c r="A8" s="28"/>
      <c r="B8" s="16">
        <v>234.3</v>
      </c>
      <c r="C8" s="17">
        <v>1731</v>
      </c>
      <c r="D8" s="17">
        <f>C8-B8</f>
        <v>1496.7</v>
      </c>
      <c r="E8" s="17">
        <f>E7+'Sales'!E9</f>
        <v>169.6</v>
      </c>
      <c r="F8" s="17">
        <v>708.8</v>
      </c>
      <c r="G8" s="17">
        <v>1022.2</v>
      </c>
      <c r="H8" s="17">
        <f>F8+G8-B8-D8</f>
        <v>0</v>
      </c>
      <c r="I8" s="17">
        <f>B8-F8</f>
        <v>-474.5</v>
      </c>
      <c r="J8" s="17"/>
    </row>
    <row r="9" ht="20.05" customHeight="1">
      <c r="A9" s="31">
        <v>2018</v>
      </c>
      <c r="B9" s="16">
        <v>90.59999999999999</v>
      </c>
      <c r="C9" s="17">
        <v>1541.2</v>
      </c>
      <c r="D9" s="17">
        <f>C9-B9</f>
        <v>1450.6</v>
      </c>
      <c r="E9" s="17">
        <f>E8+'Sales'!E10</f>
        <v>203.8</v>
      </c>
      <c r="F9" s="17">
        <v>592.9</v>
      </c>
      <c r="G9" s="17">
        <v>948.2</v>
      </c>
      <c r="H9" s="17">
        <f>F9+G9-B9-D9</f>
        <v>-0.1</v>
      </c>
      <c r="I9" s="17">
        <f>B9-F9</f>
        <v>-502.3</v>
      </c>
      <c r="J9" s="17"/>
    </row>
    <row r="10" ht="20.05" customHeight="1">
      <c r="A10" s="28"/>
      <c r="B10" s="16">
        <v>55.4</v>
      </c>
      <c r="C10" s="17">
        <v>1570.6</v>
      </c>
      <c r="D10" s="17">
        <f>C10-B10</f>
        <v>1515.2</v>
      </c>
      <c r="E10" s="17">
        <f>E9+'Sales'!E11</f>
        <v>236.9</v>
      </c>
      <c r="F10" s="17">
        <v>584.5</v>
      </c>
      <c r="G10" s="17">
        <v>986.1</v>
      </c>
      <c r="H10" s="17">
        <f>F10+G10-B10-D10</f>
        <v>0</v>
      </c>
      <c r="I10" s="17">
        <f>B10-F10</f>
        <v>-529.1</v>
      </c>
      <c r="J10" s="17"/>
    </row>
    <row r="11" ht="20.05" customHeight="1">
      <c r="A11" s="31">
        <v>2019</v>
      </c>
      <c r="B11" s="16">
        <v>43.6</v>
      </c>
      <c r="C11" s="17">
        <v>1620</v>
      </c>
      <c r="D11" s="17">
        <f>C11-B11</f>
        <v>1576.4</v>
      </c>
      <c r="E11" s="17">
        <f>E10+'Sales'!E12</f>
        <v>270.6</v>
      </c>
      <c r="F11" s="17">
        <v>601</v>
      </c>
      <c r="G11" s="17">
        <v>1020</v>
      </c>
      <c r="H11" s="17">
        <f>F11+G11-B11-D11</f>
        <v>1</v>
      </c>
      <c r="I11" s="17">
        <f>B11-F11</f>
        <v>-557.4</v>
      </c>
      <c r="J11" s="17"/>
    </row>
    <row r="12" ht="20.05" customHeight="1">
      <c r="A12" s="28"/>
      <c r="B12" s="16">
        <v>59</v>
      </c>
      <c r="C12" s="17">
        <v>1708.8</v>
      </c>
      <c r="D12" s="17">
        <f>C12-B12</f>
        <v>1649.8</v>
      </c>
      <c r="E12" s="17">
        <f>E11+'Sales'!E13</f>
        <v>307.9</v>
      </c>
      <c r="F12" s="17">
        <v>607.1</v>
      </c>
      <c r="G12" s="17">
        <v>1101.9</v>
      </c>
      <c r="H12" s="17">
        <f>F12+G12-B12-D12</f>
        <v>0.2</v>
      </c>
      <c r="I12" s="17">
        <f>B12-F12</f>
        <v>-548.1</v>
      </c>
      <c r="J12" s="17"/>
    </row>
    <row r="13" ht="20.05" customHeight="1">
      <c r="A13" s="31">
        <v>2020</v>
      </c>
      <c r="B13" s="16">
        <v>127.4</v>
      </c>
      <c r="C13" s="17">
        <v>1682.5</v>
      </c>
      <c r="D13" s="17">
        <f>C13-B13</f>
        <v>1555.1</v>
      </c>
      <c r="E13" s="17">
        <f>E12+'Sales'!E14</f>
        <v>343.887</v>
      </c>
      <c r="F13" s="17">
        <v>602.5</v>
      </c>
      <c r="G13" s="17">
        <v>1079</v>
      </c>
      <c r="H13" s="17">
        <f>F13+G13-B13-D13</f>
        <v>-1</v>
      </c>
      <c r="I13" s="17">
        <f>B13-F13</f>
        <v>-475.1</v>
      </c>
      <c r="J13" s="17"/>
    </row>
    <row r="14" ht="20.05" customHeight="1">
      <c r="A14" s="28"/>
      <c r="B14" s="16">
        <v>191</v>
      </c>
      <c r="C14" s="17">
        <v>1786</v>
      </c>
      <c r="D14" s="17">
        <f>C14-B14</f>
        <v>1595</v>
      </c>
      <c r="E14" s="17">
        <f>E13+'Sales'!E15</f>
        <v>379.787</v>
      </c>
      <c r="F14" s="17">
        <v>660</v>
      </c>
      <c r="G14" s="17">
        <v>1126</v>
      </c>
      <c r="H14" s="17">
        <f>F14+G14-B14-D14</f>
        <v>0</v>
      </c>
      <c r="I14" s="17">
        <f>B14-F14</f>
        <v>-469</v>
      </c>
      <c r="J14" s="17"/>
    </row>
    <row r="15" ht="20.05" customHeight="1">
      <c r="A15" s="31">
        <v>2021</v>
      </c>
      <c r="B15" s="16">
        <v>192</v>
      </c>
      <c r="C15" s="17">
        <v>1701</v>
      </c>
      <c r="D15" s="17">
        <f>C15-B15</f>
        <v>1509</v>
      </c>
      <c r="E15" s="17">
        <f>E14+'Sales'!E16</f>
        <v>421.787</v>
      </c>
      <c r="F15" s="17">
        <v>598.7</v>
      </c>
      <c r="G15" s="17">
        <v>1102.7</v>
      </c>
      <c r="H15" s="17">
        <f>F15+G15-B15-D15</f>
        <v>0.4</v>
      </c>
      <c r="I15" s="17">
        <f>B15-F15</f>
        <v>-406.7</v>
      </c>
      <c r="J15" s="17"/>
    </row>
    <row r="16" ht="20.05" customHeight="1">
      <c r="A16" s="28"/>
      <c r="B16" s="16">
        <v>381.5</v>
      </c>
      <c r="C16" s="17">
        <v>1873.6</v>
      </c>
      <c r="D16" s="17">
        <f>C16-B16</f>
        <v>1492.1</v>
      </c>
      <c r="E16" s="17">
        <f>E15+'Sales'!E17</f>
        <v>421.787</v>
      </c>
      <c r="F16" s="17">
        <v>602.5</v>
      </c>
      <c r="G16" s="17">
        <f>C16-F16</f>
        <v>1271.1</v>
      </c>
      <c r="H16" s="17">
        <f>F16+G16-B16-D16</f>
        <v>0</v>
      </c>
      <c r="I16" s="17">
        <f>B16-F16</f>
        <v>-221</v>
      </c>
      <c r="J16" s="17">
        <f>I16</f>
        <v>-221</v>
      </c>
    </row>
    <row r="17" ht="20.05" customHeight="1">
      <c r="A17" s="28"/>
      <c r="B17" s="16"/>
      <c r="C17" s="17"/>
      <c r="D17" s="17"/>
      <c r="E17" s="17"/>
      <c r="F17" s="17"/>
      <c r="G17" s="17"/>
      <c r="H17" s="17"/>
      <c r="I17" s="17"/>
      <c r="J17" s="17">
        <f>'Model'!D30</f>
        <v>13.704631985931</v>
      </c>
    </row>
    <row r="19" ht="27.65" customHeight="1">
      <c r="K19" t="s" s="2">
        <v>54</v>
      </c>
      <c r="L19" s="2"/>
      <c r="M19" s="2"/>
      <c r="N19" s="2"/>
      <c r="O19" s="2"/>
      <c r="P19" s="2"/>
    </row>
    <row r="20" ht="32.25" customHeight="1">
      <c r="K20" t="s" s="39">
        <v>1</v>
      </c>
      <c r="L20" t="s" s="5">
        <v>55</v>
      </c>
      <c r="M20" t="s" s="5">
        <v>25</v>
      </c>
      <c r="N20" t="s" s="5">
        <v>56</v>
      </c>
      <c r="O20" t="s" s="5">
        <v>57</v>
      </c>
      <c r="P20" t="s" s="5">
        <v>35</v>
      </c>
    </row>
    <row r="21" ht="20.25" customHeight="1">
      <c r="K21" s="40">
        <v>2010</v>
      </c>
      <c r="L21" s="41">
        <f>-141+148-2</f>
        <v>5</v>
      </c>
      <c r="M21" s="42">
        <v>-26</v>
      </c>
      <c r="N21" s="26">
        <f>-(L21+M21)</f>
        <v>21</v>
      </c>
      <c r="O21" s="26">
        <f>N21</f>
        <v>21</v>
      </c>
      <c r="P21" s="26"/>
    </row>
    <row r="22" ht="20.05" customHeight="1">
      <c r="K22" s="43">
        <v>2011</v>
      </c>
      <c r="L22" s="29">
        <f>-5+48-3</f>
        <v>40</v>
      </c>
      <c r="M22" s="30">
        <f>-37+17</f>
        <v>-20</v>
      </c>
      <c r="N22" s="13">
        <f>-(L22+M22)</f>
        <v>-20</v>
      </c>
      <c r="O22" s="13">
        <f>N22+O21</f>
        <v>1</v>
      </c>
      <c r="P22" s="13"/>
    </row>
    <row r="23" ht="20.05" customHeight="1">
      <c r="K23" s="43">
        <v>2012</v>
      </c>
      <c r="L23" s="29">
        <f>-4-47+13+317-3</f>
        <v>276</v>
      </c>
      <c r="M23" s="30">
        <v>-48</v>
      </c>
      <c r="N23" s="13">
        <f>-(L23+M23)</f>
        <v>-228</v>
      </c>
      <c r="O23" s="13">
        <f>N23+O22</f>
        <v>-227</v>
      </c>
      <c r="P23" s="13"/>
    </row>
    <row r="24" ht="20.05" customHeight="1">
      <c r="K24" s="43">
        <v>2013</v>
      </c>
      <c r="L24" s="29">
        <f>-233+197-3</f>
        <v>-39</v>
      </c>
      <c r="M24" s="30">
        <v>-51</v>
      </c>
      <c r="N24" s="13">
        <f>-(L24+M24)</f>
        <v>90</v>
      </c>
      <c r="O24" s="13">
        <f>N24+O23</f>
        <v>-137</v>
      </c>
      <c r="P24" s="13"/>
    </row>
    <row r="25" ht="20.05" customHeight="1">
      <c r="K25" s="43">
        <v>2014</v>
      </c>
      <c r="L25" s="29">
        <f>8+122-4</f>
        <v>126</v>
      </c>
      <c r="M25" s="30">
        <v>-58</v>
      </c>
      <c r="N25" s="13">
        <f>-(L25+M25)</f>
        <v>-68</v>
      </c>
      <c r="O25" s="13">
        <f>N25+O24</f>
        <v>-205</v>
      </c>
      <c r="P25" s="13"/>
    </row>
    <row r="26" ht="20.05" customHeight="1">
      <c r="K26" s="43">
        <v>2015</v>
      </c>
      <c r="L26" s="29">
        <f>28-7-3</f>
        <v>18</v>
      </c>
      <c r="M26" s="30">
        <v>-43</v>
      </c>
      <c r="N26" s="13">
        <f>-(L26+M26)</f>
        <v>25</v>
      </c>
      <c r="O26" s="13">
        <f>N26+O25</f>
        <v>-180</v>
      </c>
      <c r="P26" s="13"/>
    </row>
    <row r="27" ht="20.05" customHeight="1">
      <c r="K27" s="43">
        <v>2016</v>
      </c>
      <c r="L27" s="29">
        <f>-28-3</f>
        <v>-31</v>
      </c>
      <c r="M27" s="30">
        <v>-23</v>
      </c>
      <c r="N27" s="13">
        <f>-(L27+M27)</f>
        <v>54</v>
      </c>
      <c r="O27" s="13">
        <f>N27+O26</f>
        <v>-126</v>
      </c>
      <c r="P27" s="13"/>
    </row>
    <row r="28" ht="20.05" customHeight="1">
      <c r="K28" s="43">
        <v>2017</v>
      </c>
      <c r="L28" s="29">
        <f>247-2-320</f>
        <v>-75</v>
      </c>
      <c r="M28" s="30">
        <v>-43</v>
      </c>
      <c r="N28" s="13">
        <f>-(L28+M28)</f>
        <v>118</v>
      </c>
      <c r="O28" s="13">
        <f>N28+O27</f>
        <v>-8</v>
      </c>
      <c r="P28" s="13"/>
    </row>
    <row r="29" ht="20.05" customHeight="1">
      <c r="K29" s="43">
        <v>2018</v>
      </c>
      <c r="L29" s="29">
        <f>-113.5-2.5</f>
        <v>-116</v>
      </c>
      <c r="M29" s="30">
        <v>-80.90000000000001</v>
      </c>
      <c r="N29" s="13">
        <f>-(L29+M29)</f>
        <v>196.9</v>
      </c>
      <c r="O29" s="13">
        <f>N29+O28</f>
        <v>188.9</v>
      </c>
      <c r="P29" s="13"/>
    </row>
    <row r="30" ht="20.05" customHeight="1">
      <c r="K30" s="43">
        <v>2019</v>
      </c>
      <c r="L30" s="29">
        <f>54.8-27.9-3.5</f>
        <v>23.4</v>
      </c>
      <c r="M30" s="30">
        <v>-33.3</v>
      </c>
      <c r="N30" s="13">
        <f>-(L30+M30)</f>
        <v>9.9</v>
      </c>
      <c r="O30" s="13">
        <f>N30+O29</f>
        <v>198.8</v>
      </c>
      <c r="P30" s="13"/>
    </row>
    <row r="31" ht="20.05" customHeight="1">
      <c r="K31" s="43">
        <v>2020</v>
      </c>
      <c r="L31" s="29">
        <f>-198+228-28-1.6</f>
        <v>0.4</v>
      </c>
      <c r="M31" s="30">
        <f>-19.6-1.4</f>
        <v>-21</v>
      </c>
      <c r="N31" s="13">
        <f>-(L31+M31)</f>
        <v>20.6</v>
      </c>
      <c r="O31" s="13">
        <f>N31+O30</f>
        <v>219.4</v>
      </c>
      <c r="P31" s="13"/>
    </row>
    <row r="32" ht="20.05" customHeight="1">
      <c r="K32" t="s" s="44">
        <v>58</v>
      </c>
      <c r="L32" s="29"/>
      <c r="M32" s="30"/>
      <c r="N32" s="13">
        <f>-SUM('Model'!C12:D13)</f>
        <v>145.874306565399</v>
      </c>
      <c r="O32" s="20"/>
      <c r="P32" s="13">
        <f>N32+O31</f>
        <v>365.274306565399</v>
      </c>
    </row>
  </sheetData>
  <mergeCells count="2">
    <mergeCell ref="A1:J1"/>
    <mergeCell ref="K19:P19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5.25" style="45" customWidth="1"/>
    <col min="2" max="2" width="10.2734" style="45" customWidth="1"/>
    <col min="3" max="5" width="11.125" style="45" customWidth="1"/>
    <col min="6" max="16384" width="16.3516" style="45" customWidth="1"/>
  </cols>
  <sheetData>
    <row r="1" ht="102.85" customHeight="1"/>
    <row r="2" ht="27.65" customHeight="1">
      <c r="B2" t="s" s="2">
        <v>59</v>
      </c>
      <c r="C2" s="2"/>
      <c r="D2" s="2"/>
      <c r="E2" s="2"/>
    </row>
    <row r="3" ht="20.25" customHeight="1">
      <c r="B3" s="4"/>
      <c r="C3" t="s" s="39">
        <v>60</v>
      </c>
      <c r="D3" t="s" s="39">
        <v>38</v>
      </c>
      <c r="E3" t="s" s="39">
        <v>61</v>
      </c>
    </row>
    <row r="4" ht="20.25" customHeight="1">
      <c r="B4" s="24">
        <v>2018</v>
      </c>
      <c r="C4" s="46">
        <v>1.646</v>
      </c>
      <c r="D4" s="47"/>
      <c r="E4" s="47"/>
    </row>
    <row r="5" ht="20.05" customHeight="1">
      <c r="B5" s="28"/>
      <c r="C5" s="48">
        <v>1.56</v>
      </c>
      <c r="D5" s="49"/>
      <c r="E5" s="49"/>
    </row>
    <row r="6" ht="20.05" customHeight="1">
      <c r="B6" s="28"/>
      <c r="C6" s="48">
        <v>1.68</v>
      </c>
      <c r="D6" s="49"/>
      <c r="E6" s="49"/>
    </row>
    <row r="7" ht="20.05" customHeight="1">
      <c r="B7" s="28"/>
      <c r="C7" s="48">
        <v>1.54</v>
      </c>
      <c r="D7" s="49"/>
      <c r="E7" s="49"/>
    </row>
    <row r="8" ht="20.05" customHeight="1">
      <c r="B8" s="31">
        <v>2019</v>
      </c>
      <c r="C8" s="48">
        <v>1.64</v>
      </c>
      <c r="D8" s="49"/>
      <c r="E8" s="49"/>
    </row>
    <row r="9" ht="20.05" customHeight="1">
      <c r="B9" s="28"/>
      <c r="C9" s="48">
        <v>1.59</v>
      </c>
      <c r="D9" s="49"/>
      <c r="E9" s="49"/>
    </row>
    <row r="10" ht="20.05" customHeight="1">
      <c r="B10" s="28"/>
      <c r="C10" s="48">
        <v>1.6</v>
      </c>
      <c r="D10" s="49"/>
      <c r="E10" s="49"/>
    </row>
    <row r="11" ht="20.05" customHeight="1">
      <c r="B11" s="28"/>
      <c r="C11" s="48">
        <v>1.85</v>
      </c>
      <c r="D11" s="20"/>
      <c r="E11" s="20"/>
    </row>
    <row r="12" ht="20.05" customHeight="1">
      <c r="B12" s="31">
        <v>2020</v>
      </c>
      <c r="C12" s="48">
        <v>1.18</v>
      </c>
      <c r="D12" s="20"/>
      <c r="E12" s="20"/>
    </row>
    <row r="13" ht="20.05" customHeight="1">
      <c r="B13" s="28"/>
      <c r="C13" s="48">
        <v>1.39</v>
      </c>
      <c r="D13" s="49"/>
      <c r="E13" s="49"/>
    </row>
    <row r="14" ht="20.05" customHeight="1">
      <c r="B14" s="28"/>
      <c r="C14" s="50">
        <v>1.21</v>
      </c>
      <c r="D14" s="49"/>
      <c r="E14" s="49"/>
    </row>
    <row r="15" ht="20.05" customHeight="1">
      <c r="B15" s="28"/>
      <c r="C15" s="50">
        <v>1.28</v>
      </c>
      <c r="D15" s="49"/>
      <c r="E15" s="49"/>
    </row>
    <row r="16" ht="20.05" customHeight="1">
      <c r="B16" s="31">
        <v>2021</v>
      </c>
      <c r="C16" s="50">
        <v>1.4</v>
      </c>
      <c r="D16" s="49"/>
      <c r="E16" s="49"/>
    </row>
    <row r="17" ht="20.05" customHeight="1">
      <c r="B17" s="28"/>
      <c r="C17" s="50">
        <v>1.38</v>
      </c>
      <c r="D17" s="49"/>
      <c r="E17" s="49"/>
    </row>
    <row r="18" ht="20.05" customHeight="1">
      <c r="B18" s="28"/>
      <c r="C18" s="50">
        <v>1.65</v>
      </c>
      <c r="D18" s="49"/>
      <c r="E18" s="49"/>
    </row>
    <row r="19" ht="20.05" customHeight="1">
      <c r="B19" s="28"/>
      <c r="C19" s="50">
        <v>1.51</v>
      </c>
      <c r="D19" s="49"/>
      <c r="E19" s="49"/>
    </row>
    <row r="20" ht="20.05" customHeight="1">
      <c r="B20" s="31">
        <v>2022</v>
      </c>
      <c r="C20" s="50">
        <v>1.84</v>
      </c>
      <c r="D20" s="49">
        <f>C20</f>
        <v>1.84</v>
      </c>
      <c r="E20" s="49">
        <v>2.39</v>
      </c>
    </row>
    <row r="21" ht="20.05" customHeight="1">
      <c r="B21" s="28"/>
      <c r="C21" s="50"/>
      <c r="D21" s="49">
        <f>'Model'!D44</f>
        <v>3.26380016084875</v>
      </c>
      <c r="E21" s="49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