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<sst xmlns="http://schemas.openxmlformats.org/spreadsheetml/2006/main" uniqueCount="58">
  <si>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</si>
  <si>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</si>
  <si>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</si>
  <si>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>Cash 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</si>
  <si>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</si>
  <si>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</si>
  <si>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</si>
  <si>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</si>
  <si>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</si>
  <si>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</si>
  <si>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</si>
  <si>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</si>
  <si>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</si>
  <si>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</si>
  <si>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</si>
  <si>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</si>
  <si>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</si>
  <si>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</si>
  <si>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</si>
  <si>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</si>
  <si>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</si>
  <si>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</si>
  <si>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</si>
  <si>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</si>
  <si>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</si>
  <si>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</si>
  <si>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</si>
  <si>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</si>
  <si>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</si>
  <si>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</si>
  <si>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</si>
  <si>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</si>
  <si>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</si>
  <si>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</si>
  <si>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</si>
  <si>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</si>
  <si>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</si>
  <si>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</si>
  <si>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</si>
  <si>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</si>
  <si>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</si>
  <si>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</si>
  <si>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</si>
  <si>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</si>
  <si>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>Cashflow costs</t>
  </si>
  <si>
    <t xml:space="preserve">Receipts </t>
  </si>
  <si>
    <t xml:space="preserve">Operating </t>
  </si>
  <si>
    <t xml:space="preserve">Investment </t>
  </si>
  <si>
    <t xml:space="preserve">Interest </t>
  </si>
  <si>
    <t xml:space="preserve">Leases </t>
  </si>
  <si>
    <t xml:space="preserve">Change </t>
  </si>
  <si>
    <t xml:space="preserve">Ending </t>
  </si>
  <si>
    <t xml:space="preserve">Free cashflow </t>
  </si>
  <si>
    <t>Cash</t>
  </si>
  <si>
    <t>Assets</t>
  </si>
  <si>
    <t>Check</t>
  </si>
  <si>
    <t>Share price</t>
  </si>
  <si>
    <t>FAPA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</si>
</sst>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684923</xdr:colOff>
      <xdr:row>1</xdr:row>
      <xdr:rowOff>265874</xdr:rowOff>
    </xdr:from>
    <xdr:to>
      <xdr:col>13</xdr:col>
      <xdr:colOff>176302</xdr:colOff>
      <xdr:row>45</xdr:row>
      <xdr:rowOff>159225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25123" y="575119"/>
          <a:ext cx="8203580" cy="111988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1" customWidth="1"/>
    <col min="2" max="2" width="14.7656" style="1" customWidth="1"/>
    <col min="3" max="6" width="8.69531" style="1" customWidth="1"/>
    <col min="7" max="16384" width="16.3516" style="1" customWidth="1"/>
  </cols>
  <sheetData>
    <row r="1" ht="24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AVERAGE('Sales'!G10:G13)</f>
        <v>0.100246328895273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0.1</v>
      </c>
      <c r="D5" s="12">
        <v>-0.01</v>
      </c>
      <c r="E5" s="12">
        <v>0.05</v>
      </c>
      <c r="F5" s="12">
        <v>0.06</v>
      </c>
    </row>
    <row r="6" ht="20.05" customHeight="1">
      <c r="B6" t="s" s="10">
        <v>5</v>
      </c>
      <c r="C6" s="13">
        <f>'Sales'!C13*(1+C5)</f>
        <v>857.3982999999999</v>
      </c>
      <c r="D6" s="14">
        <f>C6*(1+D5)</f>
        <v>848.824317</v>
      </c>
      <c r="E6" s="14">
        <f>D6*(1+E5)</f>
        <v>891.26553285</v>
      </c>
      <c r="F6" s="14">
        <f>E6*(1+F5)</f>
        <v>944.741464821</v>
      </c>
    </row>
    <row r="7" ht="20.05" customHeight="1">
      <c r="B7" t="s" s="10">
        <v>6</v>
      </c>
      <c r="C7" s="15">
        <f>AVERAGE('Sales'!I13)</f>
        <v>-0.732101034644387</v>
      </c>
      <c r="D7" s="16">
        <f>C7</f>
        <v>-0.732101034644387</v>
      </c>
      <c r="E7" s="16">
        <f>D7</f>
        <v>-0.732101034644387</v>
      </c>
      <c r="F7" s="16">
        <f>E7</f>
        <v>-0.732101034644387</v>
      </c>
    </row>
    <row r="8" ht="20.05" customHeight="1">
      <c r="B8" t="s" s="10">
        <v>7</v>
      </c>
      <c r="C8" s="17">
        <f>C7*C6</f>
        <v>-627.702182532339</v>
      </c>
      <c r="D8" s="18">
        <f>D7*D6</f>
        <v>-621.425160707015</v>
      </c>
      <c r="E8" s="18">
        <f>E7*E6</f>
        <v>-652.496418742366</v>
      </c>
      <c r="F8" s="18">
        <f>F7*F6</f>
        <v>-691.646203866908</v>
      </c>
    </row>
    <row r="9" ht="20.05" customHeight="1">
      <c r="B9" t="s" s="10">
        <v>8</v>
      </c>
      <c r="C9" s="17">
        <f>C6+C8</f>
        <v>229.696117467661</v>
      </c>
      <c r="D9" s="18">
        <f>D6+D8</f>
        <v>227.399156292985</v>
      </c>
      <c r="E9" s="18">
        <f>E6+E8</f>
        <v>238.769114107634</v>
      </c>
      <c r="F9" s="18">
        <f>F6+F8</f>
        <v>253.095260954092</v>
      </c>
    </row>
    <row r="10" ht="20.05" customHeight="1">
      <c r="B10" t="s" s="10">
        <v>9</v>
      </c>
      <c r="C10" s="17">
        <f>AVERAGE('Cashflow'!E13)</f>
        <v>-49.586</v>
      </c>
      <c r="D10" s="18">
        <f>C10</f>
        <v>-49.586</v>
      </c>
      <c r="E10" s="18">
        <f>D10</f>
        <v>-49.586</v>
      </c>
      <c r="F10" s="18">
        <f>E10</f>
        <v>-49.586</v>
      </c>
    </row>
    <row r="11" ht="20.05" customHeight="1">
      <c r="B11" t="s" s="10">
        <v>10</v>
      </c>
      <c r="C11" s="17">
        <f>C12+C13+C15</f>
        <v>-180.110117467661</v>
      </c>
      <c r="D11" s="18">
        <f>D12+D13+D15</f>
        <v>-177.813156292985</v>
      </c>
      <c r="E11" s="18">
        <f>E12+E13+E15</f>
        <v>-189.183114107634</v>
      </c>
      <c r="F11" s="18">
        <f>F12+F13+F15</f>
        <v>-203.509260954092</v>
      </c>
    </row>
    <row r="12" ht="20.05" customHeight="1">
      <c r="B12" t="s" s="10">
        <v>11</v>
      </c>
      <c r="C12" s="17">
        <f>-'Balance sheet'!G10/20</f>
        <v>-249.23335</v>
      </c>
      <c r="D12" s="18">
        <f>-C26/20</f>
        <v>-236.7716825</v>
      </c>
      <c r="E12" s="18">
        <f>-D26/20</f>
        <v>-224.933098375</v>
      </c>
      <c r="F12" s="18">
        <f>-E26/20</f>
        <v>-213.686443456250</v>
      </c>
    </row>
    <row r="13" ht="20.05" customHeight="1">
      <c r="B13" t="s" s="10">
        <v>12</v>
      </c>
      <c r="C13" s="17">
        <f>IF(C21&gt;0,-C21*0.3,0)</f>
        <v>-25.9055352402984</v>
      </c>
      <c r="D13" s="18">
        <f>IF(D21&gt;0,-D21*0.3,0)</f>
        <v>-25.2164468878956</v>
      </c>
      <c r="E13" s="18">
        <f>IF(E21&gt;0,-E21*0.3,0)</f>
        <v>-28.6274342322903</v>
      </c>
      <c r="F13" s="18">
        <f>IF(F21&gt;0,-F21*0.3,0)</f>
        <v>-32.9252782862277</v>
      </c>
    </row>
    <row r="14" ht="20.05" customHeight="1">
      <c r="B14" t="s" s="10">
        <v>13</v>
      </c>
      <c r="C14" s="17">
        <f>C9+C10+C12+C13</f>
        <v>-95.02876777263739</v>
      </c>
      <c r="D14" s="18">
        <f>D9+D10+D12+D13</f>
        <v>-84.1749730949106</v>
      </c>
      <c r="E14" s="18">
        <f>E9+E10+E12+E13</f>
        <v>-64.3774184996563</v>
      </c>
      <c r="F14" s="18">
        <f>F9+F10+F12+F13</f>
        <v>-43.1024607883857</v>
      </c>
    </row>
    <row r="15" ht="20.05" customHeight="1">
      <c r="B15" t="s" s="10">
        <v>14</v>
      </c>
      <c r="C15" s="17">
        <f>-MIN(0,C14)</f>
        <v>95.02876777263739</v>
      </c>
      <c r="D15" s="18">
        <f>-MIN(C27,D14)</f>
        <v>84.1749730949106</v>
      </c>
      <c r="E15" s="18">
        <f>-MIN(D27,E14)</f>
        <v>64.3774184996563</v>
      </c>
      <c r="F15" s="18">
        <f>-MIN(E27,F14)</f>
        <v>43.1024607883857</v>
      </c>
    </row>
    <row r="16" ht="20.05" customHeight="1">
      <c r="B16" t="s" s="10">
        <v>15</v>
      </c>
      <c r="C16" s="17">
        <f>'Balance sheet'!C10</f>
        <v>35.076</v>
      </c>
      <c r="D16" s="18">
        <f>C18</f>
        <v>35.076</v>
      </c>
      <c r="E16" s="18">
        <f>D18</f>
        <v>35.076</v>
      </c>
      <c r="F16" s="18">
        <f>E18</f>
        <v>35.076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35.076</v>
      </c>
      <c r="D18" s="18">
        <f>D16+D17</f>
        <v>35.076</v>
      </c>
      <c r="E18" s="18">
        <f>E16+E17</f>
        <v>35.076</v>
      </c>
      <c r="F18" s="18">
        <f>F16+F17</f>
        <v>35.076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-AVERAGE('Sales'!E13)</f>
        <v>-143.344333333333</v>
      </c>
      <c r="D20" s="18">
        <f>C20</f>
        <v>-143.344333333333</v>
      </c>
      <c r="E20" s="18">
        <f>D20</f>
        <v>-143.344333333333</v>
      </c>
      <c r="F20" s="18">
        <f>E20</f>
        <v>-143.344333333333</v>
      </c>
    </row>
    <row r="21" ht="20.05" customHeight="1">
      <c r="B21" t="s" s="10">
        <v>20</v>
      </c>
      <c r="C21" s="17">
        <f>C6+C8+C20</f>
        <v>86.351784134328</v>
      </c>
      <c r="D21" s="18">
        <f>D6+D8+D20</f>
        <v>84.054822959652</v>
      </c>
      <c r="E21" s="18">
        <f>E6+E8+E20</f>
        <v>95.424780774301</v>
      </c>
      <c r="F21" s="18">
        <f>F6+F8+F20</f>
        <v>109.750927620759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sheet'!E10+'Balance sheet'!F10-C10</f>
        <v>11348.353</v>
      </c>
      <c r="D23" s="18">
        <f>C23-D10</f>
        <v>11397.939</v>
      </c>
      <c r="E23" s="18">
        <f>D23-E10</f>
        <v>11447.525</v>
      </c>
      <c r="F23" s="18">
        <f>E23-F10</f>
        <v>11497.111</v>
      </c>
    </row>
    <row r="24" ht="20.05" customHeight="1">
      <c r="B24" t="s" s="10">
        <v>23</v>
      </c>
      <c r="C24" s="17">
        <f>'Balance sheet'!F10-C20</f>
        <v>3589.457333333330</v>
      </c>
      <c r="D24" s="18">
        <f>C24-D20</f>
        <v>3732.801666666660</v>
      </c>
      <c r="E24" s="18">
        <f>D24-E20</f>
        <v>3876.145999999990</v>
      </c>
      <c r="F24" s="18">
        <f>E24-F20</f>
        <v>4019.490333333320</v>
      </c>
    </row>
    <row r="25" ht="20.05" customHeight="1">
      <c r="B25" t="s" s="10">
        <v>24</v>
      </c>
      <c r="C25" s="17">
        <f>C23-C24</f>
        <v>7758.895666666670</v>
      </c>
      <c r="D25" s="18">
        <f>D23-D24</f>
        <v>7665.137333333340</v>
      </c>
      <c r="E25" s="18">
        <f>E23-E24</f>
        <v>7571.379000000010</v>
      </c>
      <c r="F25" s="18">
        <f>F23-F24</f>
        <v>7477.620666666680</v>
      </c>
    </row>
    <row r="26" ht="20.05" customHeight="1">
      <c r="B26" t="s" s="10">
        <v>11</v>
      </c>
      <c r="C26" s="17">
        <f>'Balance sheet'!G10+C12</f>
        <v>4735.43365</v>
      </c>
      <c r="D26" s="18">
        <f>C26+D12</f>
        <v>4498.6619675</v>
      </c>
      <c r="E26" s="18">
        <f>D26+E12</f>
        <v>4273.728869125</v>
      </c>
      <c r="F26" s="18">
        <f>E26+F12</f>
        <v>4060.042425668750</v>
      </c>
    </row>
    <row r="27" ht="20.05" customHeight="1">
      <c r="B27" t="s" s="10">
        <v>14</v>
      </c>
      <c r="C27" s="17">
        <f>C15</f>
        <v>95.02876777263739</v>
      </c>
      <c r="D27" s="18">
        <f>C27+D15</f>
        <v>179.203740867548</v>
      </c>
      <c r="E27" s="18">
        <f>D27+E15</f>
        <v>243.581159367204</v>
      </c>
      <c r="F27" s="18">
        <f>E27+F15</f>
        <v>286.683620155590</v>
      </c>
    </row>
    <row r="28" ht="20.05" customHeight="1">
      <c r="B28" t="s" s="10">
        <v>25</v>
      </c>
      <c r="C28" s="17">
        <f>'Balance sheet'!H10+C21+C13</f>
        <v>2963.509248894030</v>
      </c>
      <c r="D28" s="18">
        <f>C28+D21+D13</f>
        <v>3022.347624965790</v>
      </c>
      <c r="E28" s="18">
        <f>D28+E21+E13</f>
        <v>3089.1449715078</v>
      </c>
      <c r="F28" s="18">
        <f>E28+F21+F13</f>
        <v>3165.970620842330</v>
      </c>
    </row>
    <row r="29" ht="20.05" customHeight="1">
      <c r="B29" t="s" s="10">
        <v>26</v>
      </c>
      <c r="C29" s="17">
        <f>C26+C27+C28-C18-C25</f>
        <v>-2.6e-12</v>
      </c>
      <c r="D29" s="18">
        <f>D26+D27+D28-D18-D25</f>
        <v>-2e-12</v>
      </c>
      <c r="E29" s="18">
        <f>E26+E27+E28-E18-E25</f>
        <v>-6e-12</v>
      </c>
      <c r="F29" s="18">
        <f>F26+F27+F28-F18-F25</f>
        <v>-9.999999999999999e-12</v>
      </c>
    </row>
    <row r="30" ht="20.05" customHeight="1">
      <c r="B30" t="s" s="10">
        <v>27</v>
      </c>
      <c r="C30" s="17">
        <f>C18-C26-C27</f>
        <v>-4795.386417772640</v>
      </c>
      <c r="D30" s="18">
        <f>D18-D26-D27</f>
        <v>-4642.789708367550</v>
      </c>
      <c r="E30" s="18">
        <f>E18-E26-E27</f>
        <v>-4482.2340284922</v>
      </c>
      <c r="F30" s="18">
        <f>F18-F26-F27</f>
        <v>-4311.650045824340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'Cashflow'!O13-C11</f>
        <v>-1441.900882532340</v>
      </c>
      <c r="D32" s="18">
        <f>C32-D11</f>
        <v>-1264.087726239360</v>
      </c>
      <c r="E32" s="18">
        <f>D32-E11</f>
        <v>-1074.904612131730</v>
      </c>
      <c r="F32" s="18">
        <f>E32-F11</f>
        <v>-871.395351177638</v>
      </c>
    </row>
    <row r="33" ht="20.05" customHeight="1">
      <c r="B33" t="s" s="10">
        <v>30</v>
      </c>
      <c r="C33" s="17"/>
      <c r="D33" s="18"/>
      <c r="E33" s="18"/>
      <c r="F33" s="18">
        <v>11650</v>
      </c>
    </row>
    <row r="34" ht="20.05" customHeight="1">
      <c r="B34" t="s" s="10">
        <v>31</v>
      </c>
      <c r="C34" s="17"/>
      <c r="D34" s="18"/>
      <c r="E34" s="18"/>
      <c r="F34" s="23">
        <f>F33/(F18+F25)</f>
        <v>1.5507081567249</v>
      </c>
    </row>
    <row r="35" ht="20.05" customHeight="1">
      <c r="B35" t="s" s="10">
        <v>32</v>
      </c>
      <c r="C35" s="17"/>
      <c r="D35" s="18"/>
      <c r="E35" s="18"/>
      <c r="F35" s="16">
        <f>-(C13+D13+E13+F13)/F33</f>
        <v>0.00967164760915983</v>
      </c>
    </row>
    <row r="36" ht="20.05" customHeight="1">
      <c r="B36" t="s" s="10">
        <v>33</v>
      </c>
      <c r="C36" s="17"/>
      <c r="D36" s="18"/>
      <c r="E36" s="18"/>
      <c r="F36" s="18">
        <f>SUM(C9:F10)</f>
        <v>750.615648822372</v>
      </c>
    </row>
    <row r="37" ht="20.05" customHeight="1">
      <c r="B37" t="s" s="10">
        <v>34</v>
      </c>
      <c r="C37" s="17"/>
      <c r="D37" s="18"/>
      <c r="E37" s="18"/>
      <c r="F37" s="18">
        <f>'Balance sheet'!E10/F36</f>
        <v>10.4616177564642</v>
      </c>
    </row>
    <row r="38" ht="20.05" customHeight="1">
      <c r="B38" t="s" s="10">
        <v>28</v>
      </c>
      <c r="C38" s="17"/>
      <c r="D38" s="18"/>
      <c r="E38" s="18"/>
      <c r="F38" s="18">
        <f>F33/F36</f>
        <v>15.5205930202461</v>
      </c>
    </row>
    <row r="39" ht="20.05" customHeight="1">
      <c r="B39" t="s" s="10">
        <v>35</v>
      </c>
      <c r="C39" s="17"/>
      <c r="D39" s="18"/>
      <c r="E39" s="18"/>
      <c r="F39" s="18">
        <v>19</v>
      </c>
    </row>
    <row r="40" ht="20.05" customHeight="1">
      <c r="B40" t="s" s="10">
        <v>36</v>
      </c>
      <c r="C40" s="17"/>
      <c r="D40" s="18"/>
      <c r="E40" s="18"/>
      <c r="F40" s="18">
        <f>F36*F39</f>
        <v>14261.6973276251</v>
      </c>
    </row>
    <row r="41" ht="20.05" customHeight="1">
      <c r="B41" t="s" s="10">
        <v>37</v>
      </c>
      <c r="C41" s="17"/>
      <c r="D41" s="18"/>
      <c r="E41" s="18"/>
      <c r="F41" s="18">
        <f>F33/F43</f>
        <v>3.62928348909657</v>
      </c>
    </row>
    <row r="42" ht="20.05" customHeight="1">
      <c r="B42" t="s" s="10">
        <v>38</v>
      </c>
      <c r="C42" s="17"/>
      <c r="D42" s="18"/>
      <c r="E42" s="18"/>
      <c r="F42" s="18">
        <f>F40/F41</f>
        <v>3929.617890272670</v>
      </c>
    </row>
    <row r="43" ht="20.05" customHeight="1">
      <c r="B43" t="s" s="10">
        <v>39</v>
      </c>
      <c r="C43" s="17"/>
      <c r="D43" s="18"/>
      <c r="E43" s="18"/>
      <c r="F43" s="18">
        <f>'Share price'!C8</f>
        <v>3210</v>
      </c>
    </row>
    <row r="44" ht="20.05" customHeight="1">
      <c r="B44" t="s" s="10">
        <v>40</v>
      </c>
      <c r="C44" s="17"/>
      <c r="D44" s="18"/>
      <c r="E44" s="18"/>
      <c r="F44" s="16">
        <f>F42/F43-1</f>
        <v>0.224180028122327</v>
      </c>
    </row>
    <row r="45" ht="20.05" customHeight="1">
      <c r="B45" t="s" s="10">
        <v>41</v>
      </c>
      <c r="C45" s="17"/>
      <c r="D45" s="18"/>
      <c r="E45" s="18"/>
      <c r="F45" s="16">
        <f>'Sales'!C13/'Sales'!C9-1</f>
        <v>0.33898794236937</v>
      </c>
    </row>
    <row r="46" ht="20.05" customHeight="1">
      <c r="B46" t="s" s="10">
        <v>42</v>
      </c>
      <c r="C46" s="17"/>
      <c r="D46" s="18"/>
      <c r="E46" s="18"/>
      <c r="F46" s="16">
        <f>('Sales'!D10+'Sales'!D13+'Sales'!D11+'Sales'!D12)/('Sales'!C10+'Sales'!C11+'Sales'!C13+'Sales'!C12)-1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4" customWidth="1"/>
    <col min="2" max="2" width="7.00781" style="24" customWidth="1"/>
    <col min="3" max="10" width="9.10156" style="24" customWidth="1"/>
    <col min="11" max="16384" width="16.3516" style="24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35</v>
      </c>
      <c r="E3" t="s" s="4">
        <v>23</v>
      </c>
      <c r="F3" t="s" s="4">
        <v>20</v>
      </c>
      <c r="G3" t="s" s="4">
        <v>43</v>
      </c>
      <c r="H3" t="s" s="4">
        <v>6</v>
      </c>
      <c r="I3" t="s" s="4">
        <v>44</v>
      </c>
      <c r="J3" t="s" s="4">
        <v>44</v>
      </c>
    </row>
    <row r="4" ht="20.25" customHeight="1">
      <c r="B4" s="25">
        <v>2017</v>
      </c>
      <c r="C4" s="26">
        <v>1507.43</v>
      </c>
      <c r="D4" s="27"/>
      <c r="E4" s="27"/>
      <c r="F4" s="27">
        <v>-111.59</v>
      </c>
      <c r="G4" s="28"/>
      <c r="H4" s="28">
        <f>(E4+F4-C4)/C4</f>
        <v>-1.07402665463736</v>
      </c>
      <c r="I4" s="28"/>
      <c r="J4" s="28">
        <f>('Cashflow'!D4+'Cashflow'!F4-'Cashflow'!C4)/'Cashflow'!C4</f>
        <v>-0.838745361729218</v>
      </c>
    </row>
    <row r="5" ht="20.05" customHeight="1">
      <c r="B5" s="29">
        <v>2018</v>
      </c>
      <c r="C5" s="17">
        <v>1641.66</v>
      </c>
      <c r="D5" s="18"/>
      <c r="E5" s="18"/>
      <c r="F5" s="18">
        <v>-338.673</v>
      </c>
      <c r="G5" s="16"/>
      <c r="H5" s="16">
        <f>(E5+F5-C5)/C5</f>
        <v>-1.20629911187457</v>
      </c>
      <c r="I5" s="16">
        <f>AVERAGE(J5:J5)</f>
        <v>-1.00890469356361</v>
      </c>
      <c r="J5" s="16">
        <f>('Cashflow'!D5+'Cashflow'!F5-'Cashflow'!C5)/'Cashflow'!C5</f>
        <v>-1.00890469356361</v>
      </c>
    </row>
    <row r="6" ht="20.05" customHeight="1">
      <c r="B6" s="29">
        <v>2019</v>
      </c>
      <c r="C6" s="17">
        <v>2118.741</v>
      </c>
      <c r="D6" s="18"/>
      <c r="E6" s="18">
        <f>278+228</f>
        <v>506</v>
      </c>
      <c r="F6" s="18">
        <v>-250.999</v>
      </c>
      <c r="G6" s="16">
        <f>C6/C5-1</f>
        <v>0.290608895873689</v>
      </c>
      <c r="H6" s="16">
        <f>(E6+F6-C6)/C6</f>
        <v>-0.879645034480382</v>
      </c>
      <c r="I6" s="16">
        <f>AVERAGE(J5:J6)</f>
        <v>-1.01722807507977</v>
      </c>
      <c r="J6" s="16">
        <f>('Cashflow'!D6+'Cashflow'!F6-'Cashflow'!C6)/'Cashflow'!C6</f>
        <v>-1.02555145659593</v>
      </c>
    </row>
    <row r="7" ht="20.05" customHeight="1">
      <c r="B7" s="29">
        <v>2020</v>
      </c>
      <c r="C7" s="17">
        <v>546.466</v>
      </c>
      <c r="D7" s="18"/>
      <c r="E7" s="18">
        <v>136.75</v>
      </c>
      <c r="F7" s="18">
        <v>-247.798</v>
      </c>
      <c r="G7" s="16">
        <f>C7/C6-1</f>
        <v>-0.742079848362778</v>
      </c>
      <c r="H7" s="16">
        <f>(E7+F7-C7)/C7</f>
        <v>-1.20321117873756</v>
      </c>
      <c r="I7" s="16">
        <f>AVERAGE(H4:H7)</f>
        <v>-1.09079549493247</v>
      </c>
      <c r="J7" s="16">
        <f>('Cashflow'!D7+'Cashflow'!F7-'Cashflow'!C7)/'Cashflow'!C7</f>
        <v>-0.93813059502255</v>
      </c>
    </row>
    <row r="8" ht="20.05" customHeight="1">
      <c r="B8" s="30"/>
      <c r="C8" s="17">
        <f>1206.085-C7</f>
        <v>659.619</v>
      </c>
      <c r="D8" s="18"/>
      <c r="E8" s="18">
        <v>136.75</v>
      </c>
      <c r="F8" s="18">
        <f>-157.211-F7</f>
        <v>90.587</v>
      </c>
      <c r="G8" s="16">
        <f>C8/C7-1</f>
        <v>0.207063202468223</v>
      </c>
      <c r="H8" s="16">
        <f>(E8+F8-C8)/C8</f>
        <v>-0.6553510435569621</v>
      </c>
      <c r="I8" s="16">
        <f>AVERAGE(H5:H8)</f>
        <v>-0.986126592162369</v>
      </c>
      <c r="J8" s="16">
        <f>('Cashflow'!D8+'Cashflow'!F8-'Cashflow'!C8)/'Cashflow'!C8</f>
        <v>-0.6965770948497459</v>
      </c>
    </row>
    <row r="9" ht="20.05" customHeight="1">
      <c r="B9" s="30"/>
      <c r="C9" s="17">
        <f>1788.206-C8-C7</f>
        <v>582.121</v>
      </c>
      <c r="D9" s="18"/>
      <c r="E9" s="18">
        <v>136.75</v>
      </c>
      <c r="F9" s="18">
        <f>-239.546-F8-F7</f>
        <v>-82.33499999999999</v>
      </c>
      <c r="G9" s="16">
        <f>C9/C8-1</f>
        <v>-0.117489035337066</v>
      </c>
      <c r="H9" s="16">
        <f>(E9+F9-C9)/C9</f>
        <v>-0.906522870674654</v>
      </c>
      <c r="I9" s="16">
        <f>AVERAGE(H6:H9)</f>
        <v>-0.91118253186239</v>
      </c>
      <c r="J9" s="16">
        <f>('Cashflow'!D9+'Cashflow'!F9-'Cashflow'!C9)/'Cashflow'!C9</f>
        <v>-0.885031275200325</v>
      </c>
    </row>
    <row r="10" ht="20.05" customHeight="1">
      <c r="B10" s="30"/>
      <c r="C10" s="17">
        <f>2617.336-C9-C8-C7</f>
        <v>829.13</v>
      </c>
      <c r="D10" s="18"/>
      <c r="E10" s="18">
        <v>136.75</v>
      </c>
      <c r="F10" s="18">
        <f>-127.059-F9-F8-F7</f>
        <v>112.487</v>
      </c>
      <c r="G10" s="16">
        <f>C10/C9-1</f>
        <v>0.424325870394643</v>
      </c>
      <c r="H10" s="16">
        <f>(E10+F10-C10)/C10</f>
        <v>-0.699399370424421</v>
      </c>
      <c r="I10" s="16">
        <f>AVERAGE(H7:H10)</f>
        <v>-0.866121115848399</v>
      </c>
      <c r="J10" s="16">
        <f>('Cashflow'!D10+'Cashflow'!F10-'Cashflow'!C10)/'Cashflow'!C10</f>
        <v>-1.02500028273755</v>
      </c>
    </row>
    <row r="11" ht="20.05" customHeight="1">
      <c r="B11" s="29">
        <v>2021</v>
      </c>
      <c r="C11" s="17">
        <v>651.439</v>
      </c>
      <c r="D11" s="18"/>
      <c r="E11" s="18">
        <v>143.344333333333</v>
      </c>
      <c r="F11" s="18">
        <v>-81.488</v>
      </c>
      <c r="G11" s="16">
        <f>C11/C10-1</f>
        <v>-0.214310180550698</v>
      </c>
      <c r="H11" s="16">
        <f>(E11+F11-C11)/C11</f>
        <v>-0.905046622426147</v>
      </c>
      <c r="I11" s="16">
        <f>AVERAGE(H8:H11)</f>
        <v>-0.791579976770546</v>
      </c>
      <c r="J11" s="16">
        <f>('Cashflow'!D11+'Cashflow'!F11-'Cashflow'!C11)/'Cashflow'!C11</f>
        <v>-0.961380926185095</v>
      </c>
    </row>
    <row r="12" ht="20.05" customHeight="1">
      <c r="B12" s="30"/>
      <c r="C12" s="17">
        <f>1404.044-C11</f>
        <v>752.605</v>
      </c>
      <c r="D12" s="18"/>
      <c r="E12" s="18">
        <v>143.344333333333</v>
      </c>
      <c r="F12" s="18">
        <f>-36.76-F11</f>
        <v>44.728</v>
      </c>
      <c r="G12" s="16">
        <f>C12/C11-1</f>
        <v>0.155296198109109</v>
      </c>
      <c r="H12" s="16">
        <f>(E12+F12-C12)/C12</f>
        <v>-0.750104858015383</v>
      </c>
      <c r="I12" s="16">
        <f>AVERAGE(H9:H12)</f>
        <v>-0.815268430385151</v>
      </c>
      <c r="J12" s="16">
        <f>('Cashflow'!D12+'Cashflow'!F12-'Cashflow'!C12)/'Cashflow'!C12</f>
        <v>-0.923454027603589</v>
      </c>
    </row>
    <row r="13" ht="20.05" customHeight="1">
      <c r="B13" s="30"/>
      <c r="C13" s="17">
        <f>2183.497-C12-C11</f>
        <v>779.453</v>
      </c>
      <c r="D13" s="18"/>
      <c r="E13" s="18">
        <v>143.344333333333</v>
      </c>
      <c r="F13" s="18">
        <f>152.057-F12-F11</f>
        <v>188.817</v>
      </c>
      <c r="G13" s="16">
        <f>C13/C12-1</f>
        <v>0.0356734276280386</v>
      </c>
      <c r="H13" s="16">
        <f>(E13+F13-C13)/C13</f>
        <v>-0.573853287711596</v>
      </c>
      <c r="I13" s="16">
        <f>AVERAGE(H10:H13)</f>
        <v>-0.732101034644387</v>
      </c>
      <c r="J13" s="16">
        <f>('Cashflow'!D13+'Cashflow'!F13-'Cashflow'!C13)/'Cashflow'!C13</f>
        <v>-0.755784546774576</v>
      </c>
    </row>
    <row r="14" ht="20.05" customHeight="1">
      <c r="B14" s="30"/>
      <c r="C14" s="17"/>
      <c r="D14" s="18">
        <f>'Model'!C6</f>
        <v>857.3982999999999</v>
      </c>
      <c r="E14" s="18"/>
      <c r="F14" s="18"/>
      <c r="G14" s="12"/>
      <c r="H14" s="22"/>
      <c r="I14" s="16">
        <f>'Model'!C7</f>
        <v>-0.732101034644387</v>
      </c>
      <c r="J14" s="16"/>
    </row>
    <row r="15" ht="20.05" customHeight="1">
      <c r="B15" s="29">
        <v>2022</v>
      </c>
      <c r="C15" s="17"/>
      <c r="D15" s="18">
        <f>'Model'!D6</f>
        <v>848.824317</v>
      </c>
      <c r="E15" s="18"/>
      <c r="F15" s="18"/>
      <c r="G15" s="12"/>
      <c r="H15" s="12"/>
      <c r="I15" s="12"/>
      <c r="J15" s="12"/>
    </row>
    <row r="16" ht="20.05" customHeight="1">
      <c r="B16" s="30"/>
      <c r="C16" s="17"/>
      <c r="D16" s="18">
        <f>'Model'!E6</f>
        <v>891.26553285</v>
      </c>
      <c r="E16" s="18"/>
      <c r="F16" s="18"/>
      <c r="G16" s="12"/>
      <c r="H16" s="12"/>
      <c r="I16" s="12"/>
      <c r="J16" s="12"/>
    </row>
    <row r="17" ht="20.05" customHeight="1">
      <c r="B17" s="30"/>
      <c r="C17" s="17"/>
      <c r="D17" s="18">
        <f>'Model'!F6</f>
        <v>944.741464821</v>
      </c>
      <c r="E17" s="18"/>
      <c r="F17" s="18"/>
      <c r="G17" s="12"/>
      <c r="H17" s="12"/>
      <c r="I17" s="12"/>
      <c r="J17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1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1" customWidth="1"/>
    <col min="2" max="2" width="8.28906" style="31" customWidth="1"/>
    <col min="3" max="15" width="10.4297" style="31" customWidth="1"/>
    <col min="16" max="16384" width="16.3516" style="31" customWidth="1"/>
  </cols>
  <sheetData>
    <row r="1" ht="36.4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4">
        <v>1</v>
      </c>
      <c r="C3" t="s" s="4">
        <v>45</v>
      </c>
      <c r="D3" t="s" s="4">
        <v>46</v>
      </c>
      <c r="E3" t="s" s="4">
        <v>47</v>
      </c>
      <c r="F3" t="s" s="4">
        <v>48</v>
      </c>
      <c r="G3" t="s" s="4">
        <v>49</v>
      </c>
      <c r="H3" t="s" s="4">
        <v>11</v>
      </c>
      <c r="I3" t="s" s="4">
        <v>12</v>
      </c>
      <c r="J3" t="s" s="4">
        <v>15</v>
      </c>
      <c r="K3" t="s" s="4">
        <v>50</v>
      </c>
      <c r="L3" t="s" s="4">
        <v>51</v>
      </c>
      <c r="M3" t="s" s="4">
        <v>52</v>
      </c>
      <c r="N3" t="s" s="4">
        <v>33</v>
      </c>
      <c r="O3" t="s" s="4">
        <v>29</v>
      </c>
    </row>
    <row r="4" ht="20.25" customHeight="1">
      <c r="B4" s="25">
        <v>2017</v>
      </c>
      <c r="C4" s="26">
        <v>1520.502</v>
      </c>
      <c r="D4" s="27">
        <v>443.169</v>
      </c>
      <c r="E4" s="27">
        <v>-321.749</v>
      </c>
      <c r="F4" s="27">
        <v>-197.981</v>
      </c>
      <c r="G4" s="27">
        <f>-0.557-0.048</f>
        <v>-0.605</v>
      </c>
      <c r="H4" s="27">
        <f>-306.411-F4-G4-I4</f>
        <v>-72.46299999999999</v>
      </c>
      <c r="I4" s="27">
        <f>-0.037-0.497-34.828</f>
        <v>-35.362</v>
      </c>
      <c r="J4" s="27">
        <v>216.62</v>
      </c>
      <c r="K4" s="27">
        <f>D4+E4+F4+G4+H4+I4</f>
        <v>-184.991</v>
      </c>
      <c r="L4" s="27">
        <f>J4+K4</f>
        <v>31.629</v>
      </c>
      <c r="M4" s="27">
        <f>D4+E4</f>
        <v>121.42</v>
      </c>
      <c r="N4" s="27"/>
      <c r="O4" s="27">
        <f>-(H4+I4)</f>
        <v>107.825</v>
      </c>
    </row>
    <row r="5" ht="20.05" customHeight="1">
      <c r="B5" s="29">
        <v>2018</v>
      </c>
      <c r="C5" s="17">
        <v>1647.895</v>
      </c>
      <c r="D5" s="18">
        <v>156.867</v>
      </c>
      <c r="E5" s="18">
        <v>-669.95</v>
      </c>
      <c r="F5" s="18">
        <v>-171.541</v>
      </c>
      <c r="G5" s="18">
        <f>2.156-0.591-0.182</f>
        <v>1.383</v>
      </c>
      <c r="H5" s="18">
        <f>506.87-F5-G5-I5</f>
        <v>203.387</v>
      </c>
      <c r="I5" s="18">
        <f>474.005+0.061-0.425</f>
        <v>473.641</v>
      </c>
      <c r="J5" s="18">
        <f>L4</f>
        <v>31.629</v>
      </c>
      <c r="K5" s="18">
        <f>D5+E5+F5+G5+H5+I5</f>
        <v>-6.213</v>
      </c>
      <c r="L5" s="18">
        <f>J5+K5</f>
        <v>25.416</v>
      </c>
      <c r="M5" s="18">
        <f>D5+E5</f>
        <v>-513.083</v>
      </c>
      <c r="N5" s="18"/>
      <c r="O5" s="18">
        <f>-(H5+I5)+O4</f>
        <v>-569.203</v>
      </c>
    </row>
    <row r="6" ht="20.05" customHeight="1">
      <c r="B6" s="29">
        <v>2019</v>
      </c>
      <c r="C6" s="17">
        <v>2062.583</v>
      </c>
      <c r="D6" s="18">
        <v>178.259</v>
      </c>
      <c r="E6" s="18">
        <v>-817.34</v>
      </c>
      <c r="F6" s="18">
        <v>-230.961</v>
      </c>
      <c r="G6" s="18">
        <f>-0.379-0.272</f>
        <v>-0.651</v>
      </c>
      <c r="H6" s="18">
        <f>642.427-F6-G6-I6</f>
        <v>115.642</v>
      </c>
      <c r="I6" s="18">
        <f>-0.024+758.805-0.384</f>
        <v>758.397</v>
      </c>
      <c r="J6" s="18">
        <f>L5</f>
        <v>25.416</v>
      </c>
      <c r="K6" s="18">
        <f>D6+E6+F6+G6+H6+I6</f>
        <v>3.346</v>
      </c>
      <c r="L6" s="18">
        <f>J6+K6</f>
        <v>28.762</v>
      </c>
      <c r="M6" s="18">
        <f>D6+E6</f>
        <v>-639.081</v>
      </c>
      <c r="N6" s="18"/>
      <c r="O6" s="18">
        <f>-(H6+I6)+O5</f>
        <v>-1443.242</v>
      </c>
    </row>
    <row r="7" ht="20.05" customHeight="1">
      <c r="B7" s="29">
        <v>2020</v>
      </c>
      <c r="C7" s="17">
        <v>574.953</v>
      </c>
      <c r="D7" s="18">
        <v>87.236</v>
      </c>
      <c r="E7" s="18">
        <v>-80.05500000000001</v>
      </c>
      <c r="F7" s="18">
        <v>-51.664</v>
      </c>
      <c r="G7" s="18">
        <v>-0.275</v>
      </c>
      <c r="H7" s="18">
        <f>95.264-173.467</f>
        <v>-78.203</v>
      </c>
      <c r="I7" s="18">
        <f>-4.842-F7-G7-H7</f>
        <v>125.3</v>
      </c>
      <c r="J7" s="18">
        <f>L6</f>
        <v>28.762</v>
      </c>
      <c r="K7" s="18">
        <f>D7+E7+F7+G7+H7+I7</f>
        <v>2.339</v>
      </c>
      <c r="L7" s="18">
        <f>J7+K7</f>
        <v>31.101</v>
      </c>
      <c r="M7" s="18">
        <f>D7+E7</f>
        <v>7.181</v>
      </c>
      <c r="N7" s="18">
        <f>M7</f>
        <v>7.181</v>
      </c>
      <c r="O7" s="18">
        <f>-(H7+I7)+O6</f>
        <v>-1490.339</v>
      </c>
    </row>
    <row r="8" ht="20.05" customHeight="1">
      <c r="B8" s="30"/>
      <c r="C8" s="17">
        <f>1241.755-C7</f>
        <v>666.802</v>
      </c>
      <c r="D8" s="18">
        <f>358.021-D7</f>
        <v>270.785</v>
      </c>
      <c r="E8" s="18">
        <f>-348.193-E7</f>
        <v>-268.138</v>
      </c>
      <c r="F8" s="18">
        <f>-120.126-F7</f>
        <v>-68.462</v>
      </c>
      <c r="G8" s="18">
        <f>-0.645-G7</f>
        <v>-0.37</v>
      </c>
      <c r="H8" s="18">
        <f>278.339-414.226-H7</f>
        <v>-57.684</v>
      </c>
      <c r="I8" s="18">
        <f>7.249-F8-G8-H8-F7-G7-H7-I7</f>
        <v>138.607</v>
      </c>
      <c r="J8" s="18">
        <f>L7</f>
        <v>31.101</v>
      </c>
      <c r="K8" s="18">
        <f>D8+E8+F8+G8+H8+I8</f>
        <v>14.738</v>
      </c>
      <c r="L8" s="18">
        <f>J8+K8</f>
        <v>45.839</v>
      </c>
      <c r="M8" s="18">
        <f>D8+E8</f>
        <v>2.647</v>
      </c>
      <c r="N8" s="18">
        <f>AVERAGE(M7:M8)</f>
        <v>4.914</v>
      </c>
      <c r="O8" s="18">
        <f>-(H8+I8)+O7</f>
        <v>-1571.262</v>
      </c>
    </row>
    <row r="9" ht="20.05" customHeight="1">
      <c r="B9" s="30"/>
      <c r="C9" s="17">
        <f>1848.146-C8-C7</f>
        <v>606.391</v>
      </c>
      <c r="D9" s="18">
        <f>493.219-D8-D7</f>
        <v>135.198</v>
      </c>
      <c r="E9" s="18">
        <f>-495.975-E8-E7</f>
        <v>-147.782</v>
      </c>
      <c r="F9" s="18">
        <f>-185.608-F8-F7</f>
        <v>-65.482</v>
      </c>
      <c r="G9" s="18">
        <f>-0.881-G8-G7</f>
        <v>-0.236</v>
      </c>
      <c r="H9" s="18">
        <f>-36-H8-H7</f>
        <v>99.887</v>
      </c>
      <c r="I9" s="18">
        <f>27.676-F9-G9-H9-F8-G8-H8-I8-F7-G7-H7-I7</f>
        <v>-13.742</v>
      </c>
      <c r="J9" s="18">
        <f>L8</f>
        <v>45.839</v>
      </c>
      <c r="K9" s="18">
        <f>D9+E9+F9+G9+H9+I9</f>
        <v>7.843</v>
      </c>
      <c r="L9" s="18">
        <f>J9+K9</f>
        <v>53.682</v>
      </c>
      <c r="M9" s="18">
        <f>D9+E9</f>
        <v>-12.584</v>
      </c>
      <c r="N9" s="18">
        <f>AVERAGE(M7:M9)</f>
        <v>-0.918666666666667</v>
      </c>
      <c r="O9" s="18">
        <f>-(H9+I9)+O8</f>
        <v>-1657.407</v>
      </c>
    </row>
    <row r="10" ht="20.05" customHeight="1">
      <c r="B10" s="30"/>
      <c r="C10" s="17">
        <f>2643.937-C9-C8-C7</f>
        <v>795.7910000000001</v>
      </c>
      <c r="D10" s="18">
        <f>547.149-D9-D8-D7</f>
        <v>53.93</v>
      </c>
      <c r="E10" s="18">
        <f>-501.227-E9-E8-E7</f>
        <v>-5.252</v>
      </c>
      <c r="F10" s="18">
        <f>-259.433-F9-F8-F7</f>
        <v>-73.825</v>
      </c>
      <c r="G10" s="18">
        <f>-1.029-G9-G8-G7</f>
        <v>-0.148</v>
      </c>
      <c r="H10" s="18">
        <f>1606-1609-H9-H8-H7</f>
        <v>33</v>
      </c>
      <c r="I10" s="18">
        <f>-39.608-F7-G7-H7-I7-F10-G10-H10-F9-G9-H9-I9-F8-G8-H8-I8</f>
        <v>-26.311</v>
      </c>
      <c r="J10" s="18">
        <f>L9</f>
        <v>53.682</v>
      </c>
      <c r="K10" s="18">
        <f>D10+E10+F10+G10+H10+I10</f>
        <v>-18.606</v>
      </c>
      <c r="L10" s="18">
        <f>J10+K10</f>
        <v>35.076</v>
      </c>
      <c r="M10" s="18">
        <f>D10+E10</f>
        <v>48.678</v>
      </c>
      <c r="N10" s="18">
        <f>AVERAGE(M5:M10)</f>
        <v>-184.373666666667</v>
      </c>
      <c r="O10" s="18">
        <f>-(H10+I10)+O9</f>
        <v>-1664.096</v>
      </c>
    </row>
    <row r="11" ht="20.05" customHeight="1">
      <c r="B11" s="29">
        <v>2021</v>
      </c>
      <c r="C11" s="17">
        <v>701.674</v>
      </c>
      <c r="D11" s="18">
        <v>73.068</v>
      </c>
      <c r="E11" s="18">
        <v>-82.458</v>
      </c>
      <c r="F11" s="18">
        <v>-45.97</v>
      </c>
      <c r="G11" s="18">
        <f>-0.195-0.02</f>
        <v>-0.215</v>
      </c>
      <c r="H11" s="18">
        <f>75.359-24.56</f>
        <v>50.799</v>
      </c>
      <c r="I11" s="18">
        <f>28.715-F11-G11-H11</f>
        <v>24.101</v>
      </c>
      <c r="J11" s="18">
        <f>L10</f>
        <v>35.076</v>
      </c>
      <c r="K11" s="18">
        <f>D11+E11+F11+G11+H11+I11</f>
        <v>19.325</v>
      </c>
      <c r="L11" s="18">
        <f>J11+K11</f>
        <v>54.401</v>
      </c>
      <c r="M11" s="18">
        <f>D11+E11</f>
        <v>-9.390000000000001</v>
      </c>
      <c r="N11" s="18">
        <f>AVERAGE(M7:M11)</f>
        <v>7.3064</v>
      </c>
      <c r="O11" s="18">
        <f>-(H11+I11)+O10</f>
        <v>-1738.996</v>
      </c>
    </row>
    <row r="12" ht="20.05" customHeight="1">
      <c r="B12" s="30"/>
      <c r="C12" s="17">
        <f>1366.66-C11</f>
        <v>664.986</v>
      </c>
      <c r="D12" s="18">
        <f>186.339-D11</f>
        <v>113.271</v>
      </c>
      <c r="E12" s="18">
        <f>-122.561-E11</f>
        <v>-40.103</v>
      </c>
      <c r="F12" s="18">
        <f>-108.339-F11</f>
        <v>-62.369</v>
      </c>
      <c r="G12" s="18">
        <f>-0.32-G11</f>
        <v>-0.105</v>
      </c>
      <c r="H12" s="18">
        <f>107.559-97.898-H11</f>
        <v>-41.138</v>
      </c>
      <c r="I12" s="18">
        <f>-83.599-F12-G12-H12-F11-G11-H11-I11</f>
        <v>-8.702</v>
      </c>
      <c r="J12" s="18">
        <f>L11</f>
        <v>54.401</v>
      </c>
      <c r="K12" s="18">
        <f>D12+E12+F12+G12+H12+I12</f>
        <v>-39.146</v>
      </c>
      <c r="L12" s="18">
        <f>J12+K12</f>
        <v>15.255</v>
      </c>
      <c r="M12" s="18">
        <f>D12+E12</f>
        <v>73.16800000000001</v>
      </c>
      <c r="N12" s="18">
        <f>AVERAGE(M8:M12)</f>
        <v>20.5038</v>
      </c>
      <c r="O12" s="18">
        <f>-(H12+I12)+O11</f>
        <v>-1689.156</v>
      </c>
    </row>
    <row r="13" ht="20.05" customHeight="1">
      <c r="B13" s="30"/>
      <c r="C13" s="17">
        <f>2235.786-C12-C11</f>
        <v>869.126</v>
      </c>
      <c r="D13" s="18">
        <f>438.598-D12-D11</f>
        <v>252.259</v>
      </c>
      <c r="E13" s="18">
        <f>-172.147-E12-E11</f>
        <v>-49.586</v>
      </c>
      <c r="F13" s="18">
        <f>-148.344-F12-F11</f>
        <v>-40.005</v>
      </c>
      <c r="G13" s="18">
        <f>-0.573-G12-G11</f>
        <v>-0.253</v>
      </c>
      <c r="H13" s="18">
        <f>-51-H12-H11</f>
        <v>-60.661</v>
      </c>
      <c r="I13" s="18">
        <f>-191.002-F13-G13-H13-F12-G12-H12-I12-F11-G11-H11-I11</f>
        <v>-6.484</v>
      </c>
      <c r="J13" s="18">
        <f>L12</f>
        <v>15.255</v>
      </c>
      <c r="K13" s="18">
        <f>D13+E13+F13+G13+H13+I13</f>
        <v>95.27</v>
      </c>
      <c r="L13" s="18">
        <f>J13+K13</f>
        <v>110.525</v>
      </c>
      <c r="M13" s="18">
        <f>D13+E13</f>
        <v>202.673</v>
      </c>
      <c r="N13" s="18">
        <f>AVERAGE(M9:M13)</f>
        <v>60.509</v>
      </c>
      <c r="O13" s="18">
        <f>-(H13+I13)+O12</f>
        <v>-1622.011</v>
      </c>
    </row>
    <row r="14" ht="20.05" customHeight="1">
      <c r="B14" s="3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>
        <f>SUM('Model'!F9:F10)</f>
        <v>203.509260954092</v>
      </c>
      <c r="O14" s="18">
        <f>'Model'!F32</f>
        <v>-871.395351177638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2" customWidth="1"/>
    <col min="2" max="2" width="8.58594" style="32" customWidth="1"/>
    <col min="3" max="11" width="9.39062" style="32" customWidth="1"/>
    <col min="12" max="16384" width="16.3516" style="32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53</v>
      </c>
      <c r="D3" t="s" s="4">
        <v>54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55</v>
      </c>
      <c r="J3" t="s" s="4">
        <v>27</v>
      </c>
      <c r="K3" t="s" s="4">
        <v>35</v>
      </c>
    </row>
    <row r="4" ht="20.25" customHeight="1">
      <c r="B4" s="25">
        <v>2017</v>
      </c>
      <c r="C4" s="26">
        <f>'Cashflow'!L4</f>
        <v>31.629</v>
      </c>
      <c r="D4" s="27">
        <v>6580.534</v>
      </c>
      <c r="E4" s="27">
        <f>D4-C4</f>
        <v>6548.905</v>
      </c>
      <c r="F4" s="27"/>
      <c r="G4" s="27">
        <v>3953.827</v>
      </c>
      <c r="H4" s="27">
        <v>2626.707</v>
      </c>
      <c r="I4" s="27">
        <f>G4+H4-C4-E4</f>
        <v>0</v>
      </c>
      <c r="J4" s="27">
        <f>C4-G4</f>
        <v>-3922.198</v>
      </c>
      <c r="K4" s="27"/>
    </row>
    <row r="5" ht="20.05" customHeight="1">
      <c r="B5" s="29">
        <v>2018</v>
      </c>
      <c r="C5" s="17">
        <f>'Cashflow'!L5</f>
        <v>25.416</v>
      </c>
      <c r="D5" s="18">
        <v>7190.75</v>
      </c>
      <c r="E5" s="18">
        <f>D5-C5</f>
        <v>7165.334</v>
      </c>
      <c r="F5" s="18"/>
      <c r="G5" s="18">
        <v>4415.55</v>
      </c>
      <c r="H5" s="18">
        <v>2775.2</v>
      </c>
      <c r="I5" s="18">
        <f>G5+H5-C5-E5</f>
        <v>0</v>
      </c>
      <c r="J5" s="18">
        <f>C5-G5</f>
        <v>-4390.134</v>
      </c>
      <c r="K5" s="18"/>
    </row>
    <row r="6" ht="20.05" customHeight="1">
      <c r="B6" s="29">
        <v>2019</v>
      </c>
      <c r="C6" s="17">
        <f>'Cashflow'!L6</f>
        <v>28.762</v>
      </c>
      <c r="D6" s="18">
        <v>7673.293</v>
      </c>
      <c r="E6" s="18">
        <f>D6-C6</f>
        <v>7644.531</v>
      </c>
      <c r="F6" s="18">
        <f>1583+1080</f>
        <v>2663</v>
      </c>
      <c r="G6" s="18">
        <v>4386.226</v>
      </c>
      <c r="H6" s="18">
        <v>3287.067</v>
      </c>
      <c r="I6" s="18">
        <f>G6+H6-C6-E6</f>
        <v>0</v>
      </c>
      <c r="J6" s="18">
        <f>C6-G6</f>
        <v>-4357.464</v>
      </c>
      <c r="K6" s="18"/>
    </row>
    <row r="7" ht="20.05" customHeight="1">
      <c r="B7" s="29">
        <v>2020</v>
      </c>
      <c r="C7" s="17">
        <f>'Cashflow'!L7</f>
        <v>31.101</v>
      </c>
      <c r="D7" s="18">
        <v>7800.327</v>
      </c>
      <c r="E7" s="18">
        <f>D7-C7</f>
        <v>7769.226</v>
      </c>
      <c r="F7" s="18">
        <f>1320+1890</f>
        <v>3210</v>
      </c>
      <c r="G7" s="18">
        <v>5102.786</v>
      </c>
      <c r="H7" s="18">
        <v>2697.541</v>
      </c>
      <c r="I7" s="18">
        <f>G7+H7-C7-E7</f>
        <v>0</v>
      </c>
      <c r="J7" s="18">
        <f>C7-G7</f>
        <v>-5071.685</v>
      </c>
      <c r="K7" s="18"/>
    </row>
    <row r="8" ht="20.05" customHeight="1">
      <c r="B8" s="29">
        <v>2021</v>
      </c>
      <c r="C8" s="17">
        <f>'Cashflow'!L8</f>
        <v>45.839</v>
      </c>
      <c r="D8" s="18">
        <v>7856.112</v>
      </c>
      <c r="E8" s="18">
        <f>D8-C8</f>
        <v>7810.273</v>
      </c>
      <c r="F8" s="18"/>
      <c r="G8" s="18">
        <v>5235.942</v>
      </c>
      <c r="H8" s="18">
        <v>2620.17</v>
      </c>
      <c r="I8" s="18">
        <f>G8+H8-C8-E8</f>
        <v>0</v>
      </c>
      <c r="J8" s="18">
        <f>C8-G8</f>
        <v>-5190.103</v>
      </c>
      <c r="K8" s="18"/>
    </row>
    <row r="9" ht="20.05" customHeight="1">
      <c r="B9" s="30"/>
      <c r="C9" s="17">
        <f>'Cashflow'!L9</f>
        <v>53.682</v>
      </c>
      <c r="D9" s="18">
        <v>7826.261</v>
      </c>
      <c r="E9" s="18">
        <f>D9-C9</f>
        <v>7772.579</v>
      </c>
      <c r="F9" s="18"/>
      <c r="G9" s="18">
        <v>5159.622</v>
      </c>
      <c r="H9" s="18">
        <v>2666.639</v>
      </c>
      <c r="I9" s="18">
        <f>G9+H9-C9-E9</f>
        <v>0</v>
      </c>
      <c r="J9" s="18">
        <f>C9-G9</f>
        <v>-5105.94</v>
      </c>
      <c r="K9" s="18"/>
    </row>
    <row r="10" ht="20.05" customHeight="1">
      <c r="B10" s="30"/>
      <c r="C10" s="17">
        <f>'Cashflow'!L10</f>
        <v>35.076</v>
      </c>
      <c r="D10" s="18">
        <v>7887.73</v>
      </c>
      <c r="E10" s="18">
        <f>D10-C10</f>
        <v>7852.654</v>
      </c>
      <c r="F10" s="18">
        <f>1320.586+2124.674+0.853</f>
        <v>3446.113</v>
      </c>
      <c r="G10" s="18">
        <v>4984.667</v>
      </c>
      <c r="H10" s="18">
        <f>D10-G10</f>
        <v>2903.063</v>
      </c>
      <c r="I10" s="18">
        <f>G10+H10-C10-E10</f>
        <v>0</v>
      </c>
      <c r="J10" s="18">
        <f>C10-G10</f>
        <v>-4949.591</v>
      </c>
      <c r="K10" s="18">
        <f>J10</f>
        <v>-4949.591</v>
      </c>
    </row>
    <row r="11" ht="20.05" customHeight="1">
      <c r="B11" s="30"/>
      <c r="C11" s="17"/>
      <c r="D11" s="18"/>
      <c r="E11" s="18"/>
      <c r="F11" s="18"/>
      <c r="G11" s="18"/>
      <c r="H11" s="18"/>
      <c r="I11" s="18"/>
      <c r="J11" s="18"/>
      <c r="K11" s="18">
        <f>'Model'!F30</f>
        <v>-4311.650045824340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08594" style="33" customWidth="1"/>
    <col min="2" max="2" width="12.875" style="33" customWidth="1"/>
    <col min="3" max="4" width="9.90625" style="33" customWidth="1"/>
    <col min="5" max="16384" width="16.3516" style="33" customWidth="1"/>
  </cols>
  <sheetData>
    <row r="1" ht="7.15" customHeight="1"/>
    <row r="2" ht="27.65" customHeight="1">
      <c r="B2" t="s" s="2">
        <v>56</v>
      </c>
      <c r="C2" s="2"/>
      <c r="D2" s="2"/>
    </row>
    <row r="3" ht="20.25" customHeight="1">
      <c r="B3" s="34"/>
      <c r="C3" t="s" s="4">
        <v>57</v>
      </c>
      <c r="D3" t="s" s="4">
        <v>38</v>
      </c>
    </row>
    <row r="4" ht="20.25" customHeight="1">
      <c r="B4" s="25">
        <v>2021</v>
      </c>
      <c r="C4" s="26">
        <v>2400</v>
      </c>
      <c r="D4" s="8"/>
    </row>
    <row r="5" ht="20.05" customHeight="1">
      <c r="B5" s="30"/>
      <c r="C5" s="17">
        <v>2770</v>
      </c>
      <c r="D5" s="22"/>
    </row>
    <row r="6" ht="20.05" customHeight="1">
      <c r="B6" s="30"/>
      <c r="C6" s="17">
        <v>2960</v>
      </c>
      <c r="D6" s="22"/>
    </row>
    <row r="7" ht="20.05" customHeight="1">
      <c r="B7" s="30"/>
      <c r="C7" s="17">
        <v>3210</v>
      </c>
      <c r="D7" s="22"/>
    </row>
    <row r="8" ht="20.05" customHeight="1">
      <c r="B8" s="29">
        <v>2022</v>
      </c>
      <c r="C8" s="17">
        <v>3210</v>
      </c>
      <c r="D8" s="18">
        <f>C8</f>
        <v>3210</v>
      </c>
    </row>
    <row r="9" ht="20.05" customHeight="1">
      <c r="B9" s="30"/>
      <c r="C9" s="17"/>
      <c r="D9" s="18">
        <f>'Model'!F42</f>
        <v>3929.617890272670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