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<sst xmlns="http://schemas.openxmlformats.org/spreadsheetml/2006/main" uniqueCount="59">
  <si>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</si>
  <si>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</si>
  <si>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</si>
  <si>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>Cash 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</si>
  <si>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</si>
  <si>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</si>
  <si>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</si>
  <si>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</si>
  <si>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</si>
  <si>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</si>
  <si>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</si>
  <si>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</si>
  <si>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Equity </t>
  </si>
  <si>
    <t xml:space="preserve">Before revolver </t>
  </si>
  <si>
    <t>Revolver</t>
  </si>
  <si>
    <t>Beginning</t>
  </si>
  <si>
    <t xml:space="preserve">Change 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</si>
  <si>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</si>
  <si>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</si>
  <si>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</si>
  <si>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</si>
  <si>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</si>
  <si>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</si>
  <si>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</si>
  <si>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</si>
  <si>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Revolver </t>
  </si>
  <si>
    <t>Equity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</si>
  <si>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</si>
  <si>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</si>
  <si>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</si>
  <si>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</si>
  <si>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</si>
  <si>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</si>
  <si>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</si>
  <si>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</si>
  <si>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</si>
  <si>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</si>
  <si>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</si>
  <si>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</si>
  <si>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</si>
  <si>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</si>
  <si>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</si>
  <si>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</si>
  <si>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</si>
  <si>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</t>
  </si>
  <si>
    <t xml:space="preserve">Sales growth </t>
  </si>
  <si>
    <t>Cashflow costs</t>
  </si>
  <si>
    <t>Rp bn</t>
  </si>
  <si>
    <t xml:space="preserve">Receipts </t>
  </si>
  <si>
    <t xml:space="preserve">Suppliers </t>
  </si>
  <si>
    <t>Leases</t>
  </si>
  <si>
    <t>Free cashflow</t>
  </si>
  <si>
    <t>Cash</t>
  </si>
  <si>
    <t>Assets</t>
  </si>
  <si>
    <t xml:space="preserve">Other assets </t>
  </si>
  <si>
    <t>Depreciation</t>
  </si>
  <si>
    <t>Net cash</t>
  </si>
  <si>
    <t>Monthly share price</t>
  </si>
  <si>
    <t>ERAA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</si>
</sst>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_);[Red]\(0\)"/>
    <numFmt numFmtId="61" formatCode="#,##0%_);[Red]\(#,##0%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8" fontId="0" borderId="8" applyNumberFormat="1" applyFont="1" applyFill="0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9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9177"/>
          <c:y val="0.12368"/>
          <c:w val="0.814513"/>
          <c:h val="0.810337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226516"/>
          <c:y val="0"/>
          <c:w val="0.934517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651499</xdr:colOff>
      <xdr:row>1</xdr:row>
      <xdr:rowOff>299976</xdr:rowOff>
    </xdr:from>
    <xdr:to>
      <xdr:col>13</xdr:col>
      <xdr:colOff>25640</xdr:colOff>
      <xdr:row>45</xdr:row>
      <xdr:rowOff>218334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40899" y="654306"/>
          <a:ext cx="8086342" cy="112238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19</xdr:col>
      <xdr:colOff>1203695</xdr:colOff>
      <xdr:row>20</xdr:row>
      <xdr:rowOff>165307</xdr:rowOff>
    </xdr:from>
    <xdr:to>
      <xdr:col>22</xdr:col>
      <xdr:colOff>71003</xdr:colOff>
      <xdr:row>35</xdr:row>
      <xdr:rowOff>165306</xdr:rowOff>
    </xdr:to>
    <xdr:graphicFrame>
      <xdr:nvGraphicFramePr>
        <xdr:cNvPr id="4" name="2D Line Chart"/>
        <xdr:cNvGraphicFramePr/>
      </xdr:nvGraphicFramePr>
      <xdr:xfrm>
        <a:off x="19250395" y="5512007"/>
        <a:ext cx="2601109" cy="381000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3906" style="1" customWidth="1"/>
    <col min="2" max="2" width="14.7656" style="1" customWidth="1"/>
    <col min="3" max="6" width="8.75781" style="1" customWidth="1"/>
    <col min="7" max="16384" width="16.3516" style="1" customWidth="1"/>
  </cols>
  <sheetData>
    <row r="1" ht="27.9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AVERAGE('Sales'!G27:G30)</f>
        <v>0.0378630113391646</v>
      </c>
      <c r="D4" s="9"/>
      <c r="E4" s="9"/>
      <c r="F4" s="10">
        <f>AVERAGE(C5:F5)</f>
        <v>0.05</v>
      </c>
    </row>
    <row r="5" ht="20.05" customHeight="1">
      <c r="B5" t="s" s="11">
        <v>4</v>
      </c>
      <c r="C5" s="12">
        <v>0.15</v>
      </c>
      <c r="D5" s="13">
        <v>-0.02</v>
      </c>
      <c r="E5" s="13">
        <v>0.03</v>
      </c>
      <c r="F5" s="13">
        <v>0.04</v>
      </c>
    </row>
    <row r="6" ht="20.05" customHeight="1">
      <c r="B6" t="s" s="11">
        <v>5</v>
      </c>
      <c r="C6" s="14">
        <f>'Sales'!C30*(1+C5)</f>
        <v>11294.955</v>
      </c>
      <c r="D6" s="15">
        <f>C6*(1+D5)</f>
        <v>11069.0559</v>
      </c>
      <c r="E6" s="15">
        <f>D6*(1+E5)</f>
        <v>11401.127577</v>
      </c>
      <c r="F6" s="15">
        <f>E6*(1+F5)</f>
        <v>11857.17268008</v>
      </c>
    </row>
    <row r="7" ht="20.05" customHeight="1">
      <c r="B7" t="s" s="11">
        <v>6</v>
      </c>
      <c r="C7" s="16">
        <f>AVERAGE('Sales'!H30)</f>
        <v>-0.970666992475844</v>
      </c>
      <c r="D7" s="17">
        <f>C7</f>
        <v>-0.970666992475844</v>
      </c>
      <c r="E7" s="17">
        <f>D7</f>
        <v>-0.970666992475844</v>
      </c>
      <c r="F7" s="17">
        <f>E7</f>
        <v>-0.970666992475844</v>
      </c>
    </row>
    <row r="8" ht="20.05" customHeight="1">
      <c r="B8" t="s" s="11">
        <v>7</v>
      </c>
      <c r="C8" s="18">
        <f>C6*C7</f>
        <v>-10963.64</v>
      </c>
      <c r="D8" s="19">
        <f>D6*D7</f>
        <v>-10744.3672</v>
      </c>
      <c r="E8" s="19">
        <f>E6*E7</f>
        <v>-11066.698216</v>
      </c>
      <c r="F8" s="19">
        <f>F6*F7</f>
        <v>-11509.36614464</v>
      </c>
    </row>
    <row r="9" ht="20.05" customHeight="1">
      <c r="B9" t="s" s="11">
        <v>8</v>
      </c>
      <c r="C9" s="18">
        <f>C6+C8</f>
        <v>331.315</v>
      </c>
      <c r="D9" s="19">
        <f>D6+D8</f>
        <v>324.6887</v>
      </c>
      <c r="E9" s="19">
        <f>E6+E8</f>
        <v>334.429361</v>
      </c>
      <c r="F9" s="19">
        <f>F6+F8</f>
        <v>347.80653544</v>
      </c>
    </row>
    <row r="10" ht="20.05" customHeight="1">
      <c r="B10" t="s" s="11">
        <v>9</v>
      </c>
      <c r="C10" s="18">
        <f>AVERAGE('Cashflow'!G25)</f>
        <v>-79.3</v>
      </c>
      <c r="D10" s="19">
        <f>C10</f>
        <v>-79.3</v>
      </c>
      <c r="E10" s="19">
        <f>D10</f>
        <v>-79.3</v>
      </c>
      <c r="F10" s="19">
        <f>E10</f>
        <v>-79.3</v>
      </c>
    </row>
    <row r="11" ht="20.05" customHeight="1">
      <c r="B11" t="s" s="11">
        <v>10</v>
      </c>
      <c r="C11" s="18">
        <f>C12+C13+C15</f>
        <v>-252.015</v>
      </c>
      <c r="D11" s="19">
        <f>D12+D13+D15</f>
        <v>-245.3887</v>
      </c>
      <c r="E11" s="19">
        <f>E12+E13+E15</f>
        <v>-255.129361</v>
      </c>
      <c r="F11" s="19">
        <f>F12+F13+F15</f>
        <v>-257.582986144</v>
      </c>
    </row>
    <row r="12" ht="20.05" customHeight="1">
      <c r="B12" t="s" s="11">
        <v>11</v>
      </c>
      <c r="C12" s="18">
        <f>-('Balance sheet'!F29)/20</f>
        <v>-247.3</v>
      </c>
      <c r="D12" s="19">
        <f>-C26/20</f>
        <v>-234.935</v>
      </c>
      <c r="E12" s="19">
        <f>-D26/20</f>
        <v>-223.18825</v>
      </c>
      <c r="F12" s="19">
        <f>-E26/20</f>
        <v>-212.0288375</v>
      </c>
    </row>
    <row r="13" ht="20.05" customHeight="1">
      <c r="B13" t="s" s="11">
        <v>12</v>
      </c>
      <c r="C13" s="18">
        <f>IF(C21&gt;0,-C21*0.1,0)</f>
        <v>-22.8415</v>
      </c>
      <c r="D13" s="19">
        <f>IF(D21&gt;0,-D21*0.1,0)</f>
        <v>-22.17887</v>
      </c>
      <c r="E13" s="19">
        <f>IF(E21&gt;0,-E21*0.1,0)</f>
        <v>-23.1529361</v>
      </c>
      <c r="F13" s="19">
        <f>IF(F21&gt;0,-F21*0.1,0)</f>
        <v>-24.490653544</v>
      </c>
    </row>
    <row r="14" ht="20.05" customHeight="1">
      <c r="B14" t="s" s="11">
        <v>13</v>
      </c>
      <c r="C14" s="18">
        <f>C9+C10+C12+C13</f>
        <v>-18.1265</v>
      </c>
      <c r="D14" s="19">
        <f>D9+D10+D12+D13</f>
        <v>-11.72517</v>
      </c>
      <c r="E14" s="19">
        <f>E9+E10+E12+E13</f>
        <v>8.7881749</v>
      </c>
      <c r="F14" s="19">
        <f>F9+F10+F12+F13</f>
        <v>31.987044396</v>
      </c>
    </row>
    <row r="15" ht="20.05" customHeight="1">
      <c r="B15" t="s" s="11">
        <v>14</v>
      </c>
      <c r="C15" s="18">
        <f>-MIN(0,C14)</f>
        <v>18.1265</v>
      </c>
      <c r="D15" s="19">
        <f>-MIN(C27,D14)</f>
        <v>11.72517</v>
      </c>
      <c r="E15" s="19">
        <f>-MIN(D27,E14)</f>
        <v>-8.7881749</v>
      </c>
      <c r="F15" s="19">
        <f>-MIN(E27,F14)</f>
        <v>-21.0634951</v>
      </c>
    </row>
    <row r="16" ht="20.05" customHeight="1">
      <c r="B16" t="s" s="11">
        <v>15</v>
      </c>
      <c r="C16" s="18">
        <f>'Balance sheet'!B29</f>
        <v>541</v>
      </c>
      <c r="D16" s="19">
        <f>C18</f>
        <v>541</v>
      </c>
      <c r="E16" s="19">
        <f>D18</f>
        <v>541</v>
      </c>
      <c r="F16" s="19">
        <f>E18</f>
        <v>541</v>
      </c>
    </row>
    <row r="17" ht="20.05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10.923549296</v>
      </c>
    </row>
    <row r="18" ht="20.05" customHeight="1">
      <c r="B18" t="s" s="11">
        <v>17</v>
      </c>
      <c r="C18" s="18">
        <f>C16+C17</f>
        <v>541</v>
      </c>
      <c r="D18" s="19">
        <f>D16+D17</f>
        <v>541</v>
      </c>
      <c r="E18" s="19">
        <f>E16+E17</f>
        <v>541</v>
      </c>
      <c r="F18" s="19">
        <f>F16+F17</f>
        <v>551.923549296</v>
      </c>
    </row>
    <row r="19" ht="20.05" customHeight="1">
      <c r="B19" t="s" s="20">
        <v>18</v>
      </c>
      <c r="C19" s="21"/>
      <c r="D19" s="22"/>
      <c r="E19" s="22"/>
      <c r="F19" s="23"/>
    </row>
    <row r="20" ht="20.05" customHeight="1">
      <c r="B20" t="s" s="11">
        <v>19</v>
      </c>
      <c r="C20" s="18">
        <f>-AVERAGE('Sales'!E30)</f>
        <v>-102.9</v>
      </c>
      <c r="D20" s="19">
        <f>C20</f>
        <v>-102.9</v>
      </c>
      <c r="E20" s="19">
        <f>D20</f>
        <v>-102.9</v>
      </c>
      <c r="F20" s="19">
        <f>E20</f>
        <v>-102.9</v>
      </c>
    </row>
    <row r="21" ht="20.05" customHeight="1">
      <c r="B21" t="s" s="11">
        <v>20</v>
      </c>
      <c r="C21" s="18">
        <f>C6+C8+C20</f>
        <v>228.415</v>
      </c>
      <c r="D21" s="19">
        <f>D6+D8+D20</f>
        <v>221.7887</v>
      </c>
      <c r="E21" s="19">
        <f>E6+E8+E20</f>
        <v>231.529361</v>
      </c>
      <c r="F21" s="19">
        <f>F6+F8+F20</f>
        <v>244.90653544</v>
      </c>
    </row>
    <row r="22" ht="20.05" customHeight="1">
      <c r="B22" t="s" s="20">
        <v>21</v>
      </c>
      <c r="C22" s="21"/>
      <c r="D22" s="22"/>
      <c r="E22" s="22"/>
      <c r="F22" s="22"/>
    </row>
    <row r="23" ht="20.05" customHeight="1">
      <c r="B23" t="s" s="11">
        <v>22</v>
      </c>
      <c r="C23" s="18">
        <f>'Balance sheet'!D29+'Balance sheet'!E29-C10</f>
        <v>11317.3</v>
      </c>
      <c r="D23" s="19">
        <f>C23-D10</f>
        <v>11396.6</v>
      </c>
      <c r="E23" s="19">
        <f>D23-E10</f>
        <v>11475.9</v>
      </c>
      <c r="F23" s="19">
        <f>E23-F10</f>
        <v>11555.2</v>
      </c>
    </row>
    <row r="24" ht="20.05" customHeight="1">
      <c r="B24" t="s" s="11">
        <v>23</v>
      </c>
      <c r="C24" s="18">
        <f>'Balance sheet'!E29-C20</f>
        <v>752.9</v>
      </c>
      <c r="D24" s="19">
        <f>C24-D20</f>
        <v>855.8</v>
      </c>
      <c r="E24" s="19">
        <f>D24-E20</f>
        <v>958.7</v>
      </c>
      <c r="F24" s="19">
        <f>E24-F20</f>
        <v>1061.6</v>
      </c>
    </row>
    <row r="25" ht="20.05" customHeight="1">
      <c r="B25" t="s" s="11">
        <v>24</v>
      </c>
      <c r="C25" s="18">
        <f>C23-C24</f>
        <v>10564.4</v>
      </c>
      <c r="D25" s="19">
        <f>D23-D24</f>
        <v>10540.8</v>
      </c>
      <c r="E25" s="19">
        <f>E23-E24</f>
        <v>10517.2</v>
      </c>
      <c r="F25" s="19">
        <f>F23-F24</f>
        <v>10493.6</v>
      </c>
    </row>
    <row r="26" ht="20.05" customHeight="1">
      <c r="B26" t="s" s="11">
        <v>11</v>
      </c>
      <c r="C26" s="18">
        <f>'Balance sheet'!F29+C12</f>
        <v>4698.7</v>
      </c>
      <c r="D26" s="19">
        <f>C26+D12</f>
        <v>4463.765</v>
      </c>
      <c r="E26" s="19">
        <f>D26+E12</f>
        <v>4240.57675</v>
      </c>
      <c r="F26" s="19">
        <f>E26+F12</f>
        <v>4028.5479125</v>
      </c>
    </row>
    <row r="27" ht="20.05" customHeight="1">
      <c r="B27" t="s" s="11">
        <v>25</v>
      </c>
      <c r="C27" s="18">
        <f>C15</f>
        <v>18.1265</v>
      </c>
      <c r="D27" s="19">
        <f>C27+D15</f>
        <v>29.85167</v>
      </c>
      <c r="E27" s="19">
        <f>D27+E15</f>
        <v>21.0634951</v>
      </c>
      <c r="F27" s="19">
        <f>E27+F15</f>
        <v>0</v>
      </c>
    </row>
    <row r="28" ht="20.05" customHeight="1">
      <c r="B28" t="s" s="11">
        <v>26</v>
      </c>
      <c r="C28" s="18">
        <f>'Balance sheet'!G29+C21+C13</f>
        <v>6388.5735</v>
      </c>
      <c r="D28" s="19">
        <f>C28+D21+D13</f>
        <v>6588.18333</v>
      </c>
      <c r="E28" s="19">
        <f>D28+E21+E13</f>
        <v>6796.5597549</v>
      </c>
      <c r="F28" s="19">
        <f>E28+F21+F13</f>
        <v>7016.975636796</v>
      </c>
    </row>
    <row r="29" ht="20.05" customHeight="1">
      <c r="B29" t="s" s="11">
        <v>27</v>
      </c>
      <c r="C29" s="18">
        <f>C26+C27+C28-C18-C25</f>
        <v>0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0.05" customHeight="1">
      <c r="B30" t="s" s="11">
        <v>28</v>
      </c>
      <c r="C30" s="18">
        <f>C18-C26-C27</f>
        <v>-4175.8265</v>
      </c>
      <c r="D30" s="19">
        <f>D18-D26-D27</f>
        <v>-3952.61667</v>
      </c>
      <c r="E30" s="19">
        <f>E18-E26-E27</f>
        <v>-3720.6402451</v>
      </c>
      <c r="F30" s="19">
        <f>F18-F26-F27</f>
        <v>-3476.624363204</v>
      </c>
    </row>
    <row r="31" ht="20.05" customHeight="1">
      <c r="B31" t="s" s="20">
        <v>29</v>
      </c>
      <c r="C31" s="18"/>
      <c r="D31" s="19"/>
      <c r="E31" s="19"/>
      <c r="F31" s="19"/>
    </row>
    <row r="32" ht="20.05" customHeight="1">
      <c r="B32" t="s" s="11">
        <v>30</v>
      </c>
      <c r="C32" s="18">
        <f>'Cashflow'!N30-C11</f>
        <v>139.408</v>
      </c>
      <c r="D32" s="19">
        <f>C32-D11</f>
        <v>384.7967</v>
      </c>
      <c r="E32" s="19">
        <f>D32-E11</f>
        <v>639.926061</v>
      </c>
      <c r="F32" s="19">
        <f>E32-F11</f>
        <v>897.509047144</v>
      </c>
    </row>
    <row r="33" ht="20.05" customHeight="1">
      <c r="B33" t="s" s="11">
        <v>31</v>
      </c>
      <c r="C33" s="18"/>
      <c r="D33" s="19"/>
      <c r="E33" s="19"/>
      <c r="F33" s="19">
        <v>10410</v>
      </c>
    </row>
    <row r="34" ht="20.05" customHeight="1">
      <c r="B34" t="s" s="11">
        <v>32</v>
      </c>
      <c r="C34" s="18"/>
      <c r="D34" s="19"/>
      <c r="E34" s="19"/>
      <c r="F34" s="24">
        <f>F33/(F18+F25)</f>
        <v>0.942463247988231</v>
      </c>
    </row>
    <row r="35" ht="20.05" customHeight="1">
      <c r="B35" t="s" s="11">
        <v>33</v>
      </c>
      <c r="C35" s="18"/>
      <c r="D35" s="19"/>
      <c r="E35" s="19"/>
      <c r="F35" s="17">
        <f>-(C13+D13+E13+F13)/F33</f>
        <v>0.00890143704553314</v>
      </c>
    </row>
    <row r="36" ht="20.05" customHeight="1">
      <c r="B36" t="s" s="11">
        <v>34</v>
      </c>
      <c r="C36" s="18"/>
      <c r="D36" s="19"/>
      <c r="E36" s="19"/>
      <c r="F36" s="19">
        <f>SUM(C9:F10)</f>
        <v>1021.03959644</v>
      </c>
    </row>
    <row r="37" ht="20.05" customHeight="1">
      <c r="B37" t="s" s="11">
        <v>35</v>
      </c>
      <c r="C37" s="18"/>
      <c r="D37" s="19"/>
      <c r="E37" s="19"/>
      <c r="F37" s="19">
        <f>'Balance sheet'!D29/F36</f>
        <v>10.3698231066812</v>
      </c>
    </row>
    <row r="38" ht="20.05" customHeight="1">
      <c r="B38" t="s" s="11">
        <v>29</v>
      </c>
      <c r="C38" s="18"/>
      <c r="D38" s="19"/>
      <c r="E38" s="19"/>
      <c r="F38" s="19">
        <f>F33/F36</f>
        <v>10.1954909841851</v>
      </c>
    </row>
    <row r="39" ht="20.05" customHeight="1">
      <c r="B39" t="s" s="11">
        <v>36</v>
      </c>
      <c r="C39" s="18"/>
      <c r="D39" s="19"/>
      <c r="E39" s="19"/>
      <c r="F39" s="19">
        <v>12</v>
      </c>
    </row>
    <row r="40" ht="20.05" customHeight="1">
      <c r="B40" t="s" s="11">
        <v>37</v>
      </c>
      <c r="C40" s="18"/>
      <c r="D40" s="19"/>
      <c r="E40" s="19"/>
      <c r="F40" s="19">
        <f>F36*F39</f>
        <v>12252.47515728</v>
      </c>
    </row>
    <row r="41" ht="20.05" customHeight="1">
      <c r="B41" t="s" s="11">
        <v>38</v>
      </c>
      <c r="C41" s="18"/>
      <c r="D41" s="19"/>
      <c r="E41" s="19"/>
      <c r="F41" s="19">
        <f>F33/F43</f>
        <v>15.8931297709924</v>
      </c>
    </row>
    <row r="42" ht="20.05" customHeight="1">
      <c r="B42" t="s" s="11">
        <v>39</v>
      </c>
      <c r="C42" s="18"/>
      <c r="D42" s="19"/>
      <c r="E42" s="19"/>
      <c r="F42" s="19">
        <f>F40/F41</f>
        <v>770.929032470546</v>
      </c>
    </row>
    <row r="43" ht="20.05" customHeight="1">
      <c r="B43" t="s" s="11">
        <v>40</v>
      </c>
      <c r="C43" s="18"/>
      <c r="D43" s="19"/>
      <c r="E43" s="19"/>
      <c r="F43" s="19">
        <f>'Share price '!C86</f>
        <v>655</v>
      </c>
    </row>
    <row r="44" ht="20.05" customHeight="1">
      <c r="B44" t="s" s="11">
        <v>41</v>
      </c>
      <c r="C44" s="18"/>
      <c r="D44" s="19"/>
      <c r="E44" s="19"/>
      <c r="F44" s="17">
        <f>F42/F43-1</f>
        <v>0.176990889268009</v>
      </c>
    </row>
    <row r="45" ht="20.05" customHeight="1">
      <c r="B45" t="s" s="11">
        <v>42</v>
      </c>
      <c r="C45" s="18"/>
      <c r="D45" s="19"/>
      <c r="E45" s="19"/>
      <c r="F45" s="17">
        <f>'Sales'!C30/'Sales'!C26-1</f>
        <v>0.127988451030001</v>
      </c>
    </row>
    <row r="46" ht="20.05" customHeight="1">
      <c r="B46" t="s" s="11">
        <v>43</v>
      </c>
      <c r="C46" s="18"/>
      <c r="D46" s="19"/>
      <c r="E46" s="19"/>
      <c r="F46" s="17">
        <f>('Sales'!D22+'Sales'!D30+'Sales'!D23+'Sales'!D24+'Sales'!D25+'Sales'!D26+'Sales'!D27+'Sales'!D28+'Sales'!D29)/('Sales'!C22+'Sales'!C23+'Sales'!C24+'Sales'!C25+'Sales'!C26+'Sales'!C27+'Sales'!C28+'Sales'!C30+'Sales'!C29)-1</f>
        <v>-0.0115411665257819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0938" style="25" customWidth="1"/>
    <col min="2" max="2" width="10.0312" style="25" customWidth="1"/>
    <col min="3" max="10" width="10.6328" style="25" customWidth="1"/>
    <col min="11" max="16384" width="16.3516" style="25" customWidth="1"/>
  </cols>
  <sheetData>
    <row r="1" ht="26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44</v>
      </c>
      <c r="D3" t="s" s="4">
        <v>36</v>
      </c>
      <c r="E3" t="s" s="4">
        <v>23</v>
      </c>
      <c r="F3" t="s" s="4">
        <v>20</v>
      </c>
      <c r="G3" t="s" s="4">
        <v>45</v>
      </c>
      <c r="H3" t="s" s="4">
        <v>6</v>
      </c>
      <c r="I3" t="s" s="4">
        <v>46</v>
      </c>
      <c r="J3" t="s" s="4">
        <v>46</v>
      </c>
    </row>
    <row r="4" ht="20.25" customHeight="1">
      <c r="B4" s="26">
        <v>2015</v>
      </c>
      <c r="C4" s="27">
        <v>3952.1</v>
      </c>
      <c r="D4" s="9"/>
      <c r="E4" s="28">
        <v>12.2</v>
      </c>
      <c r="F4" s="28">
        <v>75.40000000000001</v>
      </c>
      <c r="G4" s="10"/>
      <c r="H4" s="29">
        <f>(E4+F4-C4)/C4</f>
        <v>-0.977834568963336</v>
      </c>
      <c r="I4" s="29"/>
      <c r="J4" s="29"/>
    </row>
    <row r="5" ht="20.05" customHeight="1">
      <c r="B5" s="30"/>
      <c r="C5" s="14">
        <v>4731.7</v>
      </c>
      <c r="D5" s="23"/>
      <c r="E5" s="15">
        <v>14.9</v>
      </c>
      <c r="F5" s="15">
        <v>38.1</v>
      </c>
      <c r="G5" s="17">
        <f>C5/C4-1</f>
        <v>0.197262215024923</v>
      </c>
      <c r="H5" s="17">
        <f>(E5+F5-C5)/C5</f>
        <v>-0.988798951750956</v>
      </c>
      <c r="I5" s="17"/>
      <c r="J5" s="17"/>
    </row>
    <row r="6" ht="20.05" customHeight="1">
      <c r="B6" s="30"/>
      <c r="C6" s="14">
        <v>5266.9</v>
      </c>
      <c r="D6" s="23"/>
      <c r="E6" s="15">
        <v>11.6</v>
      </c>
      <c r="F6" s="15">
        <v>55.9</v>
      </c>
      <c r="G6" s="17">
        <f>C6/C5-1</f>
        <v>0.113109453262041</v>
      </c>
      <c r="H6" s="17">
        <f>(E6+F6-C6)/C6</f>
        <v>-0.9871841120963</v>
      </c>
      <c r="I6" s="17"/>
      <c r="J6" s="17"/>
    </row>
    <row r="7" ht="20.05" customHeight="1">
      <c r="B7" s="30"/>
      <c r="C7" s="14">
        <v>6056.9</v>
      </c>
      <c r="D7" s="23"/>
      <c r="E7" s="15">
        <v>13.2</v>
      </c>
      <c r="F7" s="15">
        <v>60.4</v>
      </c>
      <c r="G7" s="17">
        <f>C7/C6-1</f>
        <v>0.149993354724791</v>
      </c>
      <c r="H7" s="17">
        <f>(E7+F7-C7)/C7</f>
        <v>-0.9878485694001879</v>
      </c>
      <c r="I7" s="17"/>
      <c r="J7" s="17"/>
    </row>
    <row r="8" ht="20.05" customHeight="1">
      <c r="B8" s="31">
        <v>2016</v>
      </c>
      <c r="C8" s="14">
        <v>4850</v>
      </c>
      <c r="D8" s="23"/>
      <c r="E8" s="15">
        <v>15.7</v>
      </c>
      <c r="F8" s="15">
        <v>59.5</v>
      </c>
      <c r="G8" s="17">
        <f>C8/C7-1</f>
        <v>-0.19926034770262</v>
      </c>
      <c r="H8" s="17">
        <f>(E8+F8-C8)/C8</f>
        <v>-0.984494845360825</v>
      </c>
      <c r="I8" s="23"/>
      <c r="J8" s="17"/>
    </row>
    <row r="9" ht="20.05" customHeight="1">
      <c r="B9" s="30"/>
      <c r="C9" s="14">
        <v>5512.1</v>
      </c>
      <c r="D9" s="23"/>
      <c r="E9" s="15">
        <v>15.6</v>
      </c>
      <c r="F9" s="15">
        <v>68</v>
      </c>
      <c r="G9" s="17">
        <f>C9/C8-1</f>
        <v>0.136515463917526</v>
      </c>
      <c r="H9" s="17">
        <f>(E9+F9-C9)/C9</f>
        <v>-0.984833366593494</v>
      </c>
      <c r="I9" s="23"/>
      <c r="J9" s="17"/>
    </row>
    <row r="10" ht="20.05" customHeight="1">
      <c r="B10" s="30"/>
      <c r="C10" s="14">
        <v>5229.4</v>
      </c>
      <c r="D10" s="23"/>
      <c r="E10" s="15">
        <v>17.1</v>
      </c>
      <c r="F10" s="15">
        <v>62.7</v>
      </c>
      <c r="G10" s="17">
        <f>C10/C9-1</f>
        <v>-0.0512871682298942</v>
      </c>
      <c r="H10" s="17">
        <f>(E10+F10-C10)/C10</f>
        <v>-0.984740123149883</v>
      </c>
      <c r="I10" s="23"/>
      <c r="J10" s="17"/>
    </row>
    <row r="11" ht="20.05" customHeight="1">
      <c r="B11" s="30"/>
      <c r="C11" s="14">
        <v>4955.6</v>
      </c>
      <c r="D11" s="23"/>
      <c r="E11" s="15">
        <v>17</v>
      </c>
      <c r="F11" s="15">
        <v>71.5</v>
      </c>
      <c r="G11" s="17">
        <f>C11/C10-1</f>
        <v>-0.0523578230772173</v>
      </c>
      <c r="H11" s="17">
        <f>(E11+F11-C11)/C11</f>
        <v>-0.982141415772056</v>
      </c>
      <c r="I11" s="23"/>
      <c r="J11" s="17"/>
    </row>
    <row r="12" ht="20.05" customHeight="1">
      <c r="B12" s="31">
        <v>2017</v>
      </c>
      <c r="C12" s="14">
        <v>5165.9</v>
      </c>
      <c r="D12" s="23"/>
      <c r="E12" s="15">
        <v>18.26</v>
      </c>
      <c r="F12" s="15">
        <v>69.40000000000001</v>
      </c>
      <c r="G12" s="17">
        <f>C12/C11-1</f>
        <v>0.0424368391314876</v>
      </c>
      <c r="H12" s="17">
        <f>(E12+F12-C12)/C12</f>
        <v>-0.983031030410964</v>
      </c>
      <c r="I12" s="23"/>
      <c r="J12" s="17"/>
    </row>
    <row r="13" ht="20.05" customHeight="1">
      <c r="B13" s="30"/>
      <c r="C13" s="14">
        <v>5890.5</v>
      </c>
      <c r="D13" s="23"/>
      <c r="E13" s="15">
        <v>18.44</v>
      </c>
      <c r="F13" s="15">
        <v>77.40000000000001</v>
      </c>
      <c r="G13" s="17">
        <f>C13/C12-1</f>
        <v>0.140265974951122</v>
      </c>
      <c r="H13" s="17">
        <f>(E13+F13-C13)/C13</f>
        <v>-0.98372973431797</v>
      </c>
      <c r="I13" s="23"/>
      <c r="J13" s="17"/>
    </row>
    <row r="14" ht="20.05" customHeight="1">
      <c r="B14" s="30"/>
      <c r="C14" s="14">
        <v>5597.5</v>
      </c>
      <c r="D14" s="23"/>
      <c r="E14" s="15">
        <v>17.7</v>
      </c>
      <c r="F14" s="15">
        <v>84.09999999999999</v>
      </c>
      <c r="G14" s="17">
        <f>C14/C13-1</f>
        <v>-0.049741108564638</v>
      </c>
      <c r="H14" s="17">
        <f>(E14+F14-C14)/C14</f>
        <v>-0.981813309513176</v>
      </c>
      <c r="I14" s="23"/>
      <c r="J14" s="17"/>
    </row>
    <row r="15" ht="20.05" customHeight="1">
      <c r="B15" s="30"/>
      <c r="C15" s="14">
        <v>7576</v>
      </c>
      <c r="D15" s="23"/>
      <c r="E15" s="15">
        <v>22</v>
      </c>
      <c r="F15" s="15">
        <v>116.3</v>
      </c>
      <c r="G15" s="17">
        <f>C15/C14-1</f>
        <v>0.353461366681554</v>
      </c>
      <c r="H15" s="17">
        <f>(E15+F15-C15)/C15</f>
        <v>-0.981744984160507</v>
      </c>
      <c r="I15" s="23"/>
      <c r="J15" s="17"/>
    </row>
    <row r="16" ht="20.05" customHeight="1">
      <c r="B16" s="31">
        <v>2018</v>
      </c>
      <c r="C16" s="14">
        <v>8280</v>
      </c>
      <c r="D16" s="23"/>
      <c r="E16" s="15">
        <v>19.4</v>
      </c>
      <c r="F16" s="15">
        <v>216.5</v>
      </c>
      <c r="G16" s="17">
        <f>C16/C15-1</f>
        <v>0.0929250263991552</v>
      </c>
      <c r="H16" s="17">
        <f>(E16+F16-C16)/C16</f>
        <v>-0.971509661835749</v>
      </c>
      <c r="I16" s="23"/>
      <c r="J16" s="17"/>
    </row>
    <row r="17" ht="20.05" customHeight="1">
      <c r="B17" s="30"/>
      <c r="C17" s="14">
        <v>8812.4</v>
      </c>
      <c r="D17" s="23"/>
      <c r="E17" s="15">
        <v>20.8</v>
      </c>
      <c r="F17" s="15">
        <v>237.3</v>
      </c>
      <c r="G17" s="17">
        <f>C17/C16-1</f>
        <v>0.0642995169082126</v>
      </c>
      <c r="H17" s="17">
        <f>(E17+F17-C17)/C17</f>
        <v>-0.970711724388362</v>
      </c>
      <c r="I17" s="23"/>
      <c r="J17" s="17"/>
    </row>
    <row r="18" ht="20.05" customHeight="1">
      <c r="B18" s="30"/>
      <c r="C18" s="14">
        <v>8240.9</v>
      </c>
      <c r="D18" s="23"/>
      <c r="E18" s="15">
        <v>19.9</v>
      </c>
      <c r="F18" s="15">
        <v>202.2</v>
      </c>
      <c r="G18" s="17">
        <f>C18/C17-1</f>
        <v>-0.06485179973673461</v>
      </c>
      <c r="H18" s="17">
        <f>(E18+F18-C18)/C18</f>
        <v>-0.973049060175466</v>
      </c>
      <c r="I18" s="23"/>
      <c r="J18" s="17"/>
    </row>
    <row r="19" ht="20.05" customHeight="1">
      <c r="B19" s="30"/>
      <c r="C19" s="14">
        <v>9410.700000000001</v>
      </c>
      <c r="D19" s="23"/>
      <c r="E19" s="15">
        <v>31.3</v>
      </c>
      <c r="F19" s="15">
        <v>233</v>
      </c>
      <c r="G19" s="17">
        <f>C19/C18-1</f>
        <v>0.141950515113641</v>
      </c>
      <c r="H19" s="17">
        <f>(E19+F19-C19)/C19</f>
        <v>-0.971914947878479</v>
      </c>
      <c r="I19" s="23"/>
      <c r="J19" s="17"/>
    </row>
    <row r="20" ht="20.05" customHeight="1">
      <c r="B20" s="31">
        <v>2019</v>
      </c>
      <c r="C20" s="14">
        <v>7124</v>
      </c>
      <c r="D20" s="23"/>
      <c r="E20" s="15">
        <v>25.8</v>
      </c>
      <c r="F20" s="15">
        <v>56.5</v>
      </c>
      <c r="G20" s="17">
        <f>C20/C19-1</f>
        <v>-0.242989363171709</v>
      </c>
      <c r="H20" s="17">
        <f>(E20+F20-C20)/C20</f>
        <v>-0.988447501403706</v>
      </c>
      <c r="I20" s="23"/>
      <c r="J20" s="17"/>
    </row>
    <row r="21" ht="20.05" customHeight="1">
      <c r="B21" s="30"/>
      <c r="C21" s="14">
        <v>8305</v>
      </c>
      <c r="D21" s="23"/>
      <c r="E21" s="15">
        <v>27.2</v>
      </c>
      <c r="F21" s="15">
        <v>67.5</v>
      </c>
      <c r="G21" s="17">
        <f>C21/C20-1</f>
        <v>0.16577765300393</v>
      </c>
      <c r="H21" s="17">
        <f>(E21+F21-C21)/C21</f>
        <v>-0.988597230583986</v>
      </c>
      <c r="I21" s="23"/>
      <c r="J21" s="17"/>
    </row>
    <row r="22" ht="20.05" customHeight="1">
      <c r="B22" s="30"/>
      <c r="C22" s="14">
        <v>8184</v>
      </c>
      <c r="D22" s="15">
        <v>8240.9</v>
      </c>
      <c r="E22" s="15">
        <v>28.8</v>
      </c>
      <c r="F22" s="15">
        <v>52</v>
      </c>
      <c r="G22" s="17">
        <f>C22/C21-1</f>
        <v>-0.0145695364238411</v>
      </c>
      <c r="H22" s="17">
        <f>(E22+F22-C22)/C22</f>
        <v>-0.990127077223851</v>
      </c>
      <c r="I22" s="23"/>
      <c r="J22" s="17"/>
    </row>
    <row r="23" ht="20.05" customHeight="1">
      <c r="B23" s="30"/>
      <c r="C23" s="14">
        <v>9331.9</v>
      </c>
      <c r="D23" s="15">
        <v>8940.165000000001</v>
      </c>
      <c r="E23" s="15">
        <f>'Balance sheet'!E22-'Balance sheet'!E21</f>
        <v>45</v>
      </c>
      <c r="F23" s="15">
        <v>149.583</v>
      </c>
      <c r="G23" s="17">
        <f>C23/C22-1</f>
        <v>0.140261485826002</v>
      </c>
      <c r="H23" s="17">
        <f>(E23+F23-C23)/C23</f>
        <v>-0.9791486192522419</v>
      </c>
      <c r="I23" s="23"/>
      <c r="J23" s="17"/>
    </row>
    <row r="24" ht="20.05" customHeight="1">
      <c r="B24" s="31">
        <v>2020</v>
      </c>
      <c r="C24" s="14">
        <v>7806</v>
      </c>
      <c r="D24" s="32">
        <v>7836.4</v>
      </c>
      <c r="E24" s="15">
        <f>'Balance sheet'!E23-'Balance sheet'!E22</f>
        <v>37</v>
      </c>
      <c r="F24" s="15">
        <v>110</v>
      </c>
      <c r="G24" s="17">
        <f>C24/C23-1</f>
        <v>-0.163514396853803</v>
      </c>
      <c r="H24" s="17">
        <f>(E24+F24-C24)/C24</f>
        <v>-0.9811683320522669</v>
      </c>
      <c r="I24" s="23"/>
      <c r="J24" s="17">
        <f>('Cashflow'!F24-'Cashflow'!E24)/'Cashflow'!E24</f>
        <v>-0.956440572495333</v>
      </c>
    </row>
    <row r="25" ht="20.05" customHeight="1">
      <c r="B25" s="30"/>
      <c r="C25" s="14">
        <v>6656.73</v>
      </c>
      <c r="D25" s="15">
        <v>6656.73</v>
      </c>
      <c r="E25" s="15">
        <f>'Balance sheet'!E24-'Balance sheet'!E23</f>
        <v>21</v>
      </c>
      <c r="F25" s="15">
        <v>14.228</v>
      </c>
      <c r="G25" s="17">
        <f>C25/C24-1</f>
        <v>-0.147229054573405</v>
      </c>
      <c r="H25" s="17">
        <f>(E25+F25-C25)/C25</f>
        <v>-0.994707912143049</v>
      </c>
      <c r="I25" s="17"/>
      <c r="J25" s="17">
        <f>('Cashflow'!F25-'Cashflow'!E25)/'Cashflow'!E25</f>
        <v>-0.703268052025714</v>
      </c>
    </row>
    <row r="26" ht="20.05" customHeight="1">
      <c r="B26" s="30"/>
      <c r="C26" s="14">
        <v>8707.27</v>
      </c>
      <c r="D26" s="15">
        <v>7529.28</v>
      </c>
      <c r="E26" s="15">
        <f>'Balance sheet'!E25-'Balance sheet'!E24</f>
        <v>34</v>
      </c>
      <c r="F26" s="15">
        <f>329-F25-F24</f>
        <v>204.772</v>
      </c>
      <c r="G26" s="17">
        <f>C26/C25-1</f>
        <v>0.308040133819458</v>
      </c>
      <c r="H26" s="17">
        <f>(E26+F26-C26)/C26</f>
        <v>-0.972577857353683</v>
      </c>
      <c r="I26" s="17">
        <f>AVERAGE(J23:J26)</f>
        <v>-0.929018240349156</v>
      </c>
      <c r="J26" s="17">
        <f>('Cashflow'!F26-'Cashflow'!E26)/'Cashflow'!E26</f>
        <v>-1.12734609652642</v>
      </c>
    </row>
    <row r="27" ht="20.05" customHeight="1">
      <c r="B27" s="30"/>
      <c r="C27" s="14">
        <f>34113.5-SUM(C24:C26)</f>
        <v>10943.5</v>
      </c>
      <c r="D27" s="15">
        <v>9577.996999999999</v>
      </c>
      <c r="E27" s="15">
        <f>405.3-SUM(E24:E26)</f>
        <v>313.3</v>
      </c>
      <c r="F27" s="15">
        <f>671.2-SUM(F24:F26)</f>
        <v>342.2</v>
      </c>
      <c r="G27" s="17">
        <f>C27/C26-1</f>
        <v>0.256823321201708</v>
      </c>
      <c r="H27" s="17">
        <f>(E27+F27-C27)/C27</f>
        <v>-0.940101430072646</v>
      </c>
      <c r="I27" s="17">
        <f>AVERAGE(J24:J27)</f>
        <v>-0.908253215024614</v>
      </c>
      <c r="J27" s="17">
        <f>('Cashflow'!F27-'Cashflow'!E27)/'Cashflow'!E27</f>
        <v>-0.845958139050988</v>
      </c>
    </row>
    <row r="28" ht="20.05" customHeight="1">
      <c r="B28" s="31">
        <v>2021</v>
      </c>
      <c r="C28" s="14">
        <v>10847.8</v>
      </c>
      <c r="D28" s="15">
        <v>11052.935</v>
      </c>
      <c r="E28" s="15">
        <v>142.5</v>
      </c>
      <c r="F28" s="33">
        <v>315.8</v>
      </c>
      <c r="G28" s="17">
        <f>C28/C27-1</f>
        <v>-0.00874491707406223</v>
      </c>
      <c r="H28" s="17">
        <f>(E28+F28-C28)/C28</f>
        <v>-0.957751802208743</v>
      </c>
      <c r="I28" s="17">
        <f>AVERAGE(J25:J28)</f>
        <v>-0.969176128404761</v>
      </c>
      <c r="J28" s="17">
        <f>('Cashflow'!F28-'Cashflow'!E28)/'Cashflow'!E28</f>
        <v>-1.20013222601592</v>
      </c>
    </row>
    <row r="29" ht="20.05" customHeight="1">
      <c r="B29" s="30"/>
      <c r="C29" s="14">
        <f>21358.9-C28</f>
        <v>10511.1</v>
      </c>
      <c r="D29" s="15">
        <v>11824.102</v>
      </c>
      <c r="E29" s="15">
        <f>204.2+3.5-E28</f>
        <v>65.2</v>
      </c>
      <c r="F29" s="15">
        <f>614.1-F28</f>
        <v>298.3</v>
      </c>
      <c r="G29" s="17">
        <f>C29/C28-1</f>
        <v>-0.0310385515957153</v>
      </c>
      <c r="H29" s="17">
        <f>(E29+F29-C29)/C29</f>
        <v>-0.965417511012168</v>
      </c>
      <c r="I29" s="17">
        <f>AVERAGE(J26:J29)</f>
        <v>-1.03411760389778</v>
      </c>
      <c r="J29" s="17">
        <f>('Cashflow'!F29-'Cashflow'!E29)/'Cashflow'!E29</f>
        <v>-0.963033953997809</v>
      </c>
    </row>
    <row r="30" ht="20.05" customHeight="1">
      <c r="B30" s="30"/>
      <c r="C30" s="14">
        <f>31180.6-SUM(C28:C29)</f>
        <v>9821.700000000001</v>
      </c>
      <c r="D30" s="15">
        <v>10195.767</v>
      </c>
      <c r="E30" s="15">
        <f>310.6-SUM(E28:E29)</f>
        <v>102.9</v>
      </c>
      <c r="F30" s="33">
        <f>799.3-SUM(F28:F29)</f>
        <v>185.2</v>
      </c>
      <c r="G30" s="17">
        <f>C30/C29-1</f>
        <v>-0.06558780717527191</v>
      </c>
      <c r="H30" s="17">
        <f>(E30+F30-C30)/C30</f>
        <v>-0.970666992475844</v>
      </c>
      <c r="I30" s="17">
        <f>AVERAGE(J27:J30)</f>
        <v>-0.960657164086672</v>
      </c>
      <c r="J30" s="17">
        <f>('Cashflow'!F30-'Cashflow'!E30)/'Cashflow'!E30</f>
        <v>-0.83350433728197</v>
      </c>
    </row>
    <row r="31" ht="20.05" customHeight="1">
      <c r="B31" s="30"/>
      <c r="C31" s="14"/>
      <c r="D31" s="15">
        <f>'Model'!C6</f>
        <v>11294.955</v>
      </c>
      <c r="E31" s="23"/>
      <c r="F31" s="23"/>
      <c r="G31" s="13"/>
      <c r="H31" s="17">
        <f>'Model'!C7</f>
        <v>-0.970666992475844</v>
      </c>
      <c r="I31" s="23"/>
      <c r="J31" s="17"/>
    </row>
    <row r="32" ht="20.05" customHeight="1">
      <c r="B32" s="31">
        <v>2022</v>
      </c>
      <c r="C32" s="14"/>
      <c r="D32" s="15">
        <f>'Model'!D6</f>
        <v>11069.0559</v>
      </c>
      <c r="E32" s="23"/>
      <c r="F32" s="34"/>
      <c r="G32" s="13"/>
      <c r="H32" s="13"/>
      <c r="I32" s="13"/>
      <c r="J32" s="13"/>
    </row>
    <row r="33" ht="20.05" customHeight="1">
      <c r="B33" s="30"/>
      <c r="C33" s="14"/>
      <c r="D33" s="15">
        <f>'Model'!E6</f>
        <v>11401.127577</v>
      </c>
      <c r="E33" s="23"/>
      <c r="F33" s="34"/>
      <c r="G33" s="13"/>
      <c r="H33" s="13"/>
      <c r="I33" s="13"/>
      <c r="J33" s="13"/>
    </row>
    <row r="34" ht="20.05" customHeight="1">
      <c r="B34" s="30"/>
      <c r="C34" s="14"/>
      <c r="D34" s="15">
        <f>'Model'!F6</f>
        <v>11857.17268008</v>
      </c>
      <c r="E34" s="23"/>
      <c r="F34" s="34"/>
      <c r="G34" s="13"/>
      <c r="H34" s="13"/>
      <c r="I34" s="13"/>
      <c r="J34" s="13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0938" style="35" customWidth="1"/>
    <col min="2" max="2" width="9.21094" style="35" customWidth="1"/>
    <col min="3" max="4" hidden="1" width="16.3333" style="35" customWidth="1"/>
    <col min="5" max="6" width="11.0703" style="35" customWidth="1"/>
    <col min="7" max="7" width="11.4844" style="35" customWidth="1"/>
    <col min="8" max="8" width="11.0703" style="35" customWidth="1"/>
    <col min="9" max="15" width="10.0938" style="35" customWidth="1"/>
    <col min="16" max="16384" width="16.3516" style="35" customWidth="1"/>
  </cols>
  <sheetData>
    <row r="1" ht="59.0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4">
        <v>47</v>
      </c>
      <c r="C3" t="s" s="36">
        <v>48</v>
      </c>
      <c r="D3" t="s" s="36">
        <v>49</v>
      </c>
      <c r="E3" t="s" s="4">
        <v>48</v>
      </c>
      <c r="F3" t="s" s="4">
        <v>8</v>
      </c>
      <c r="G3" t="s" s="4">
        <v>9</v>
      </c>
      <c r="H3" t="s" s="4">
        <v>50</v>
      </c>
      <c r="I3" t="s" s="4">
        <v>11</v>
      </c>
      <c r="J3" t="s" s="4">
        <v>12</v>
      </c>
      <c r="K3" t="s" s="4">
        <v>10</v>
      </c>
      <c r="L3" t="s" s="4">
        <v>51</v>
      </c>
      <c r="M3" t="s" s="4">
        <v>34</v>
      </c>
      <c r="N3" t="s" s="4">
        <v>30</v>
      </c>
      <c r="O3" s="6"/>
    </row>
    <row r="4" ht="20.25" customHeight="1">
      <c r="B4" s="26">
        <v>2015</v>
      </c>
      <c r="C4" s="37">
        <f>#REF!</f>
      </c>
      <c r="D4" s="37">
        <f>#REF!</f>
      </c>
      <c r="E4" s="38"/>
      <c r="F4" s="39">
        <v>-79.09999999999999</v>
      </c>
      <c r="G4" s="39">
        <v>-50</v>
      </c>
      <c r="H4" s="39"/>
      <c r="I4" s="39"/>
      <c r="J4" s="39"/>
      <c r="K4" s="39">
        <v>48.7</v>
      </c>
      <c r="L4" s="39">
        <f>F4+G4+H4</f>
        <v>-129.1</v>
      </c>
      <c r="M4" s="39">
        <f>AVERAGE(L4:L4)</f>
        <v>-129.1</v>
      </c>
      <c r="N4" s="39">
        <f>-(K4-H4)-592</f>
        <v>-640.7</v>
      </c>
      <c r="O4" s="39"/>
    </row>
    <row r="5" ht="20.05" customHeight="1">
      <c r="B5" s="30"/>
      <c r="C5" s="40">
        <f>#REF!-#REF!</f>
      </c>
      <c r="D5" s="40">
        <f>#REF!-#REF!</f>
      </c>
      <c r="E5" s="18"/>
      <c r="F5" s="19">
        <v>336.1</v>
      </c>
      <c r="G5" s="19">
        <v>-59.9</v>
      </c>
      <c r="H5" s="19"/>
      <c r="I5" s="19"/>
      <c r="J5" s="19"/>
      <c r="K5" s="19">
        <v>-349.1</v>
      </c>
      <c r="L5" s="19">
        <f>F5+G5+H5</f>
        <v>276.2</v>
      </c>
      <c r="M5" s="19">
        <f>AVERAGE(L4:L5)</f>
        <v>73.55</v>
      </c>
      <c r="N5" s="19">
        <f>-(K5-H5)+N4</f>
        <v>-291.6</v>
      </c>
      <c r="O5" s="19"/>
    </row>
    <row r="6" ht="20.05" customHeight="1">
      <c r="B6" s="30"/>
      <c r="C6" s="40">
        <f>#REF!-#REF!</f>
      </c>
      <c r="D6" s="40">
        <f>#REF!-#REF!</f>
      </c>
      <c r="E6" s="18"/>
      <c r="F6" s="19">
        <v>361.5</v>
      </c>
      <c r="G6" s="19">
        <v>-53.1</v>
      </c>
      <c r="H6" s="19"/>
      <c r="I6" s="19"/>
      <c r="J6" s="19"/>
      <c r="K6" s="19">
        <v>-386</v>
      </c>
      <c r="L6" s="19">
        <f>F6+G6+H6</f>
        <v>308.4</v>
      </c>
      <c r="M6" s="19">
        <f>AVERAGE(L4:L6)</f>
        <v>151.833333333333</v>
      </c>
      <c r="N6" s="19">
        <f>-(K6-H6)+N5</f>
        <v>94.40000000000001</v>
      </c>
      <c r="O6" s="19"/>
    </row>
    <row r="7" ht="20.05" customHeight="1">
      <c r="B7" s="30"/>
      <c r="C7" s="40">
        <f>#REF!-#REF!</f>
      </c>
      <c r="D7" s="40">
        <f>#REF!-#REF!</f>
      </c>
      <c r="E7" s="18"/>
      <c r="F7" s="19">
        <v>-425.2</v>
      </c>
      <c r="G7" s="19">
        <v>-54.2</v>
      </c>
      <c r="H7" s="19"/>
      <c r="I7" s="19"/>
      <c r="J7" s="19"/>
      <c r="K7" s="19">
        <v>343.7</v>
      </c>
      <c r="L7" s="19">
        <f>F7+G7+H7</f>
        <v>-479.4</v>
      </c>
      <c r="M7" s="19">
        <f>AVERAGE(L4:L7)</f>
        <v>-5.975</v>
      </c>
      <c r="N7" s="19">
        <f>-(K7-H7)+N6</f>
        <v>-249.3</v>
      </c>
      <c r="O7" s="19"/>
    </row>
    <row r="8" ht="20.05" customHeight="1">
      <c r="B8" s="31">
        <v>2016</v>
      </c>
      <c r="C8" s="40">
        <f>#REF!</f>
      </c>
      <c r="D8" s="40">
        <f>#REF!</f>
      </c>
      <c r="E8" s="18"/>
      <c r="F8" s="19">
        <v>-349.8</v>
      </c>
      <c r="G8" s="19">
        <v>-51.1</v>
      </c>
      <c r="H8" s="19"/>
      <c r="I8" s="19"/>
      <c r="J8" s="19"/>
      <c r="K8" s="19">
        <v>198.8</v>
      </c>
      <c r="L8" s="19">
        <f>F8+G8+H8</f>
        <v>-400.9</v>
      </c>
      <c r="M8" s="19">
        <f>AVERAGE(L5:L8)</f>
        <v>-73.925</v>
      </c>
      <c r="N8" s="19">
        <f>-(K8-H8)+N7</f>
        <v>-448.1</v>
      </c>
      <c r="O8" s="19"/>
    </row>
    <row r="9" ht="20.05" customHeight="1">
      <c r="B9" s="30"/>
      <c r="C9" s="40">
        <f>#REF!-#REF!</f>
      </c>
      <c r="D9" s="40">
        <f>#REF!-#REF!</f>
      </c>
      <c r="E9" s="18"/>
      <c r="F9" s="19">
        <v>599.2</v>
      </c>
      <c r="G9" s="19">
        <v>-78.09999999999999</v>
      </c>
      <c r="H9" s="19"/>
      <c r="I9" s="19"/>
      <c r="J9" s="19"/>
      <c r="K9" s="19">
        <v>-291.2</v>
      </c>
      <c r="L9" s="19">
        <f>F9+G9+H9</f>
        <v>521.1</v>
      </c>
      <c r="M9" s="19">
        <f>AVERAGE(L6:L9)</f>
        <v>-12.7</v>
      </c>
      <c r="N9" s="19">
        <f>-(K9-H9)+N8</f>
        <v>-156.9</v>
      </c>
      <c r="O9" s="19"/>
    </row>
    <row r="10" ht="20.05" customHeight="1">
      <c r="B10" s="30"/>
      <c r="C10" s="40">
        <f>#REF!-#REF!</f>
      </c>
      <c r="D10" s="40">
        <f>#REF!-#REF!</f>
      </c>
      <c r="E10" s="18"/>
      <c r="F10" s="19">
        <v>366.9</v>
      </c>
      <c r="G10" s="19">
        <v>-58.1</v>
      </c>
      <c r="H10" s="19"/>
      <c r="I10" s="19"/>
      <c r="J10" s="19"/>
      <c r="K10" s="19">
        <v>-375.8</v>
      </c>
      <c r="L10" s="19">
        <f>F10+G10+H10</f>
        <v>308.8</v>
      </c>
      <c r="M10" s="19">
        <f>AVERAGE(L7:L10)</f>
        <v>-12.6</v>
      </c>
      <c r="N10" s="19">
        <f>-(K10-H10)+N9</f>
        <v>218.9</v>
      </c>
      <c r="O10" s="19"/>
    </row>
    <row r="11" ht="20.05" customHeight="1">
      <c r="B11" s="30"/>
      <c r="C11" s="40">
        <f>#REF!-#REF!</f>
      </c>
      <c r="D11" s="40">
        <f>#REF!-#REF!</f>
      </c>
      <c r="E11" s="18"/>
      <c r="F11" s="19">
        <v>852.7</v>
      </c>
      <c r="G11" s="19">
        <v>-35.9</v>
      </c>
      <c r="H11" s="19"/>
      <c r="I11" s="19"/>
      <c r="J11" s="19"/>
      <c r="K11" s="19">
        <v>-374.1</v>
      </c>
      <c r="L11" s="19">
        <f>F11+G11+H11</f>
        <v>816.8</v>
      </c>
      <c r="M11" s="19">
        <f>AVERAGE(L8:L11)</f>
        <v>311.45</v>
      </c>
      <c r="N11" s="19">
        <f>-(K11-H11)+N10</f>
        <v>593</v>
      </c>
      <c r="O11" s="19"/>
    </row>
    <row r="12" ht="20.05" customHeight="1">
      <c r="B12" s="31">
        <v>2017</v>
      </c>
      <c r="C12" s="40">
        <f>#REF!</f>
      </c>
      <c r="D12" s="40">
        <f>#REF!</f>
      </c>
      <c r="E12" s="18">
        <v>5347.8</v>
      </c>
      <c r="F12" s="19">
        <v>-963.6</v>
      </c>
      <c r="G12" s="19">
        <v>-71.09999999999999</v>
      </c>
      <c r="H12" s="19"/>
      <c r="I12" s="19"/>
      <c r="J12" s="19"/>
      <c r="K12" s="19">
        <v>319.1</v>
      </c>
      <c r="L12" s="19">
        <f>F12+G12+H12</f>
        <v>-1034.7</v>
      </c>
      <c r="M12" s="19">
        <f>AVERAGE(L9:L12)</f>
        <v>153</v>
      </c>
      <c r="N12" s="19">
        <f>-(K12-H12)+N11</f>
        <v>273.9</v>
      </c>
      <c r="O12" s="19">
        <f>-(L12-E12)</f>
        <v>6382.5</v>
      </c>
    </row>
    <row r="13" ht="20.05" customHeight="1">
      <c r="B13" s="30"/>
      <c r="C13" s="40">
        <f>#REF!-#REF!</f>
      </c>
      <c r="D13" s="40">
        <f>#REF!-#REF!</f>
      </c>
      <c r="E13" s="18">
        <f>11054-E12</f>
        <v>5706.2</v>
      </c>
      <c r="F13" s="19">
        <v>187.5</v>
      </c>
      <c r="G13" s="19">
        <v>-66.09999999999999</v>
      </c>
      <c r="H13" s="19"/>
      <c r="I13" s="19"/>
      <c r="J13" s="19"/>
      <c r="K13" s="19">
        <v>484.8</v>
      </c>
      <c r="L13" s="19">
        <f>F13+G13+H13</f>
        <v>121.4</v>
      </c>
      <c r="M13" s="19">
        <f>AVERAGE(L10:L13)</f>
        <v>53.075</v>
      </c>
      <c r="N13" s="19">
        <f>-(K13-H13)+N12</f>
        <v>-210.9</v>
      </c>
      <c r="O13" s="19">
        <f>-(L13-E13)</f>
        <v>5584.8</v>
      </c>
    </row>
    <row r="14" ht="20.05" customHeight="1">
      <c r="B14" s="30"/>
      <c r="C14" s="40">
        <f>#REF!-#REF!</f>
      </c>
      <c r="D14" s="40">
        <f>#REF!-#REF!</f>
      </c>
      <c r="E14" s="18">
        <f>16824-E13-E12</f>
        <v>5770</v>
      </c>
      <c r="F14" s="19">
        <v>-24.1</v>
      </c>
      <c r="G14" s="19">
        <v>-96.59999999999999</v>
      </c>
      <c r="H14" s="19"/>
      <c r="I14" s="19"/>
      <c r="J14" s="19"/>
      <c r="K14" s="19">
        <v>-65.2</v>
      </c>
      <c r="L14" s="19">
        <f>F14+G14+H14</f>
        <v>-120.7</v>
      </c>
      <c r="M14" s="19">
        <f>AVERAGE(L11:L14)</f>
        <v>-54.3</v>
      </c>
      <c r="N14" s="19">
        <f>-(K14-H14)+N13</f>
        <v>-145.7</v>
      </c>
      <c r="O14" s="19">
        <f>-(L14-E14)</f>
        <v>5890.7</v>
      </c>
    </row>
    <row r="15" ht="20.05" customHeight="1">
      <c r="B15" s="30"/>
      <c r="C15" s="40">
        <f>#REF!-#REF!</f>
      </c>
      <c r="D15" s="40">
        <f>#REF!-#REF!</f>
      </c>
      <c r="E15" s="18">
        <f>24167-E14-E13-E12</f>
        <v>7343</v>
      </c>
      <c r="F15" s="19">
        <v>35.2</v>
      </c>
      <c r="G15" s="19">
        <v>-38.3</v>
      </c>
      <c r="H15" s="19"/>
      <c r="I15" s="19"/>
      <c r="J15" s="19"/>
      <c r="K15" s="19">
        <v>-216.7</v>
      </c>
      <c r="L15" s="19">
        <f>F15+G15+H15</f>
        <v>-3.1</v>
      </c>
      <c r="M15" s="19">
        <f>AVERAGE(L12:L15)</f>
        <v>-259.275</v>
      </c>
      <c r="N15" s="19">
        <f>-(K15-H15)+N14</f>
        <v>71</v>
      </c>
      <c r="O15" s="19">
        <f>-(L15-E15)</f>
        <v>7346.1</v>
      </c>
    </row>
    <row r="16" ht="20.05" customHeight="1">
      <c r="B16" s="31">
        <v>2018</v>
      </c>
      <c r="C16" s="40">
        <f>#REF!</f>
      </c>
      <c r="D16" s="40">
        <f>#REF!</f>
      </c>
      <c r="E16" s="18">
        <v>8397.5</v>
      </c>
      <c r="F16" s="19">
        <v>-1665.1</v>
      </c>
      <c r="G16" s="19">
        <v>-72.8</v>
      </c>
      <c r="H16" s="19"/>
      <c r="I16" s="19"/>
      <c r="J16" s="19"/>
      <c r="K16" s="19">
        <v>1534.3</v>
      </c>
      <c r="L16" s="19">
        <f>F16+G16+H16</f>
        <v>-1737.9</v>
      </c>
      <c r="M16" s="19">
        <f>AVERAGE(L13:L16)</f>
        <v>-435.075</v>
      </c>
      <c r="N16" s="19">
        <f>-(K16-H16)+N15</f>
        <v>-1463.3</v>
      </c>
      <c r="O16" s="19">
        <f>-(L16-E16)</f>
        <v>10135.4</v>
      </c>
    </row>
    <row r="17" ht="20.05" customHeight="1">
      <c r="B17" s="30"/>
      <c r="C17" s="40">
        <f>#REF!-#REF!</f>
      </c>
      <c r="D17" s="40">
        <f>#REF!-#REF!</f>
      </c>
      <c r="E17" s="18">
        <f>17173.1-E16</f>
        <v>8775.6</v>
      </c>
      <c r="F17" s="19">
        <v>-107</v>
      </c>
      <c r="G17" s="19">
        <v>-151</v>
      </c>
      <c r="H17" s="19"/>
      <c r="I17" s="19"/>
      <c r="J17" s="19"/>
      <c r="K17" s="19">
        <v>273.7</v>
      </c>
      <c r="L17" s="19">
        <f>F17+G17+H17</f>
        <v>-258</v>
      </c>
      <c r="M17" s="19">
        <f>AVERAGE(L14:L17)</f>
        <v>-529.925</v>
      </c>
      <c r="N17" s="19">
        <f>-(K17-H17)+N16</f>
        <v>-1737</v>
      </c>
      <c r="O17" s="19">
        <f>-(L17-E17)</f>
        <v>9033.6</v>
      </c>
    </row>
    <row r="18" ht="20.05" customHeight="1">
      <c r="B18" s="30"/>
      <c r="C18" s="40">
        <f>#REF!-#REF!</f>
      </c>
      <c r="D18" s="40">
        <f>#REF!-#REF!</f>
      </c>
      <c r="E18" s="18">
        <f>25782-E17-E16</f>
        <v>8608.9</v>
      </c>
      <c r="F18" s="19">
        <v>-1314</v>
      </c>
      <c r="G18" s="19">
        <v>-76.3</v>
      </c>
      <c r="H18" s="19"/>
      <c r="I18" s="19"/>
      <c r="J18" s="19"/>
      <c r="K18" s="19">
        <v>1173.8</v>
      </c>
      <c r="L18" s="19">
        <f>F18+G18+H18</f>
        <v>-1390.3</v>
      </c>
      <c r="M18" s="19">
        <f>AVERAGE(L15:L18)</f>
        <v>-847.325</v>
      </c>
      <c r="N18" s="19">
        <f>-(K18-H18)+N17</f>
        <v>-2910.8</v>
      </c>
      <c r="O18" s="19">
        <f>-(L18-E18)</f>
        <v>9999.200000000001</v>
      </c>
    </row>
    <row r="19" ht="20.05" customHeight="1">
      <c r="B19" s="30"/>
      <c r="C19" s="40">
        <f>#REF!-#REF!</f>
      </c>
      <c r="D19" s="40">
        <f>#REF!-#REF!</f>
      </c>
      <c r="E19" s="18">
        <f>34886-E18-E17-E16</f>
        <v>9104</v>
      </c>
      <c r="F19" s="19">
        <v>659.1</v>
      </c>
      <c r="G19" s="19">
        <v>-98.5</v>
      </c>
      <c r="H19" s="19"/>
      <c r="I19" s="19"/>
      <c r="J19" s="19"/>
      <c r="K19" s="19">
        <v>-362.8</v>
      </c>
      <c r="L19" s="19">
        <f>F19+G19+H19</f>
        <v>560.6</v>
      </c>
      <c r="M19" s="19">
        <f>AVERAGE(L16:L19)</f>
        <v>-706.4</v>
      </c>
      <c r="N19" s="19">
        <f>-(K19-H19)+N18</f>
        <v>-2548</v>
      </c>
      <c r="O19" s="19">
        <f>-(L19-E19)</f>
        <v>8543.4</v>
      </c>
    </row>
    <row r="20" ht="20.05" customHeight="1">
      <c r="B20" s="31">
        <v>2019</v>
      </c>
      <c r="C20" s="40">
        <f>#REF!</f>
      </c>
      <c r="D20" s="40">
        <f>#REF!</f>
      </c>
      <c r="E20" s="18">
        <v>7214</v>
      </c>
      <c r="F20" s="19">
        <v>296.6</v>
      </c>
      <c r="G20" s="19">
        <v>-118.7</v>
      </c>
      <c r="H20" s="19"/>
      <c r="I20" s="19"/>
      <c r="J20" s="19"/>
      <c r="K20" s="19">
        <v>-264.9</v>
      </c>
      <c r="L20" s="19">
        <f>F20+G20+H20</f>
        <v>177.9</v>
      </c>
      <c r="M20" s="19">
        <f>AVERAGE(L17:L20)</f>
        <v>-227.45</v>
      </c>
      <c r="N20" s="19">
        <f>-(K20-H20)+N19</f>
        <v>-2283.1</v>
      </c>
      <c r="O20" s="19">
        <f>-(L20-E20)</f>
        <v>7036.1</v>
      </c>
    </row>
    <row r="21" ht="20.05" customHeight="1">
      <c r="B21" s="30"/>
      <c r="C21" s="40">
        <f>#REF!-#REF!</f>
      </c>
      <c r="D21" s="40">
        <f>#REF!-#REF!</f>
      </c>
      <c r="E21" s="18">
        <v>8435</v>
      </c>
      <c r="F21" s="19">
        <v>1483.4</v>
      </c>
      <c r="G21" s="19">
        <v>-168.3</v>
      </c>
      <c r="H21" s="19"/>
      <c r="I21" s="19"/>
      <c r="J21" s="19"/>
      <c r="K21" s="19">
        <v>-1167.1</v>
      </c>
      <c r="L21" s="19">
        <f>F21+G21+H21</f>
        <v>1315.1</v>
      </c>
      <c r="M21" s="19">
        <f>AVERAGE(L18:L21)</f>
        <v>165.825</v>
      </c>
      <c r="N21" s="19">
        <f>-(K21-H21)+N20</f>
        <v>-1116</v>
      </c>
      <c r="O21" s="19">
        <f>-(L21-E21)</f>
        <v>7119.9</v>
      </c>
    </row>
    <row r="22" ht="20.05" customHeight="1">
      <c r="B22" s="30"/>
      <c r="C22" s="40">
        <f>#REF!-#REF!</f>
      </c>
      <c r="D22" s="40">
        <f>#REF!-#REF!</f>
      </c>
      <c r="E22" s="18">
        <v>8275</v>
      </c>
      <c r="F22" s="19">
        <v>692</v>
      </c>
      <c r="G22" s="19">
        <v>-138</v>
      </c>
      <c r="H22" s="19"/>
      <c r="I22" s="19"/>
      <c r="J22" s="19"/>
      <c r="K22" s="19">
        <v>-221</v>
      </c>
      <c r="L22" s="19">
        <f>F22+G22+H22</f>
        <v>554</v>
      </c>
      <c r="M22" s="19">
        <f>AVERAGE(L19:L22)</f>
        <v>651.9</v>
      </c>
      <c r="N22" s="19">
        <f>-(K22-H22)+N21</f>
        <v>-895</v>
      </c>
      <c r="O22" s="19">
        <f>-(L22-E22)</f>
        <v>7721</v>
      </c>
    </row>
    <row r="23" ht="20.05" customHeight="1">
      <c r="B23" s="30"/>
      <c r="C23" s="40">
        <f>#REF!-#REF!</f>
      </c>
      <c r="D23" s="40">
        <f>#REF!-#REF!</f>
      </c>
      <c r="E23" s="18">
        <v>9475</v>
      </c>
      <c r="F23" s="19">
        <v>-41.21</v>
      </c>
      <c r="G23" s="19">
        <v>47.993</v>
      </c>
      <c r="H23" s="19"/>
      <c r="I23" s="19"/>
      <c r="J23" s="19"/>
      <c r="K23" s="19">
        <v>-208.393</v>
      </c>
      <c r="L23" s="19">
        <f>F23+G23+H23</f>
        <v>6.783</v>
      </c>
      <c r="M23" s="19">
        <f>AVERAGE(L20:L23)</f>
        <v>513.44575</v>
      </c>
      <c r="N23" s="19">
        <f>-(K23-H23)+N22</f>
        <v>-686.607</v>
      </c>
      <c r="O23" s="19">
        <f>-(L23-E23)</f>
        <v>9468.217000000001</v>
      </c>
    </row>
    <row r="24" ht="20.05" customHeight="1">
      <c r="B24" s="31">
        <v>2020</v>
      </c>
      <c r="C24" s="40">
        <f>#REF!</f>
      </c>
      <c r="D24" s="40">
        <f>#REF!</f>
      </c>
      <c r="E24" s="18">
        <v>8035</v>
      </c>
      <c r="F24" s="19">
        <v>350</v>
      </c>
      <c r="G24" s="19">
        <v>-243</v>
      </c>
      <c r="H24" s="19">
        <v>-66</v>
      </c>
      <c r="I24" s="19"/>
      <c r="J24" s="19"/>
      <c r="K24" s="19">
        <v>-208</v>
      </c>
      <c r="L24" s="19">
        <f>F24+G24+H24</f>
        <v>41</v>
      </c>
      <c r="M24" s="19">
        <f>AVERAGE(L21:L24)</f>
        <v>479.22075</v>
      </c>
      <c r="N24" s="19">
        <f>-(K24-H24)+N23</f>
        <v>-544.607</v>
      </c>
      <c r="O24" s="19">
        <f>-(L24-E24)</f>
        <v>7994</v>
      </c>
    </row>
    <row r="25" ht="20.05" customHeight="1">
      <c r="B25" s="30"/>
      <c r="C25" s="40"/>
      <c r="D25" s="40"/>
      <c r="E25" s="18">
        <v>6689</v>
      </c>
      <c r="F25" s="19">
        <v>1984.84</v>
      </c>
      <c r="G25" s="19">
        <v>-79.3</v>
      </c>
      <c r="H25" s="19">
        <v>-66</v>
      </c>
      <c r="I25" s="19"/>
      <c r="J25" s="19"/>
      <c r="K25" s="19">
        <v>-715.13</v>
      </c>
      <c r="L25" s="19">
        <f>F25+G25+H25</f>
        <v>1839.54</v>
      </c>
      <c r="M25" s="19">
        <f>AVERAGE(L22:L25)</f>
        <v>610.33075</v>
      </c>
      <c r="N25" s="19">
        <f>-(K25-H25)+N24</f>
        <v>104.523</v>
      </c>
      <c r="O25" s="19">
        <f>-(L25-E25)</f>
        <v>4849.46</v>
      </c>
    </row>
    <row r="26" ht="20.05" customHeight="1">
      <c r="B26" s="30"/>
      <c r="C26" s="40"/>
      <c r="D26" s="40"/>
      <c r="E26" s="18">
        <v>8723</v>
      </c>
      <c r="F26" s="19">
        <v>-1110.84</v>
      </c>
      <c r="G26" s="19">
        <v>-146.7</v>
      </c>
      <c r="H26" s="19">
        <v>-66</v>
      </c>
      <c r="I26" s="19"/>
      <c r="J26" s="19"/>
      <c r="K26" s="19">
        <v>525.13</v>
      </c>
      <c r="L26" s="19">
        <f>F26+G26+H26</f>
        <v>-1323.54</v>
      </c>
      <c r="M26" s="19">
        <f>AVERAGE(L23:L26)</f>
        <v>140.94575</v>
      </c>
      <c r="N26" s="19">
        <f>-(K26-H26)+N25</f>
        <v>-486.607</v>
      </c>
      <c r="O26" s="19">
        <f>-(L26-E26)</f>
        <v>10046.54</v>
      </c>
    </row>
    <row r="27" ht="20.05" customHeight="1">
      <c r="B27" s="30"/>
      <c r="C27" s="40"/>
      <c r="D27" s="40"/>
      <c r="E27" s="18">
        <v>10573.1</v>
      </c>
      <c r="F27" s="19">
        <v>1628.7</v>
      </c>
      <c r="G27" s="19">
        <v>93.90000000000001</v>
      </c>
      <c r="H27" s="19">
        <v>-66</v>
      </c>
      <c r="I27" s="19"/>
      <c r="J27" s="19"/>
      <c r="K27" s="19">
        <v>-903.6</v>
      </c>
      <c r="L27" s="19">
        <f>F27+G27+H27</f>
        <v>1656.6</v>
      </c>
      <c r="M27" s="19">
        <f>AVERAGE(L24:L27)</f>
        <v>553.4</v>
      </c>
      <c r="N27" s="19">
        <f>-(K27-H27)+N26</f>
        <v>350.993</v>
      </c>
      <c r="O27" s="19">
        <f>-(L27-E27)</f>
        <v>8916.5</v>
      </c>
    </row>
    <row r="28" ht="20.05" customHeight="1">
      <c r="B28" s="31">
        <v>2021</v>
      </c>
      <c r="C28" s="40"/>
      <c r="D28" s="40"/>
      <c r="E28" s="18">
        <v>11041.7</v>
      </c>
      <c r="F28" s="19">
        <v>-2209.8</v>
      </c>
      <c r="G28" s="19">
        <v>-202.2</v>
      </c>
      <c r="H28" s="19">
        <v>0</v>
      </c>
      <c r="I28" s="19">
        <f>1502.316-H28</f>
        <v>1502.316</v>
      </c>
      <c r="J28" s="19"/>
      <c r="K28" s="19">
        <f>1502.3</f>
        <v>1502.3</v>
      </c>
      <c r="L28" s="19">
        <f>F28+G28+H28</f>
        <v>-2412</v>
      </c>
      <c r="M28" s="19">
        <f>AVERAGE(L25:L28)</f>
        <v>-59.85</v>
      </c>
      <c r="N28" s="19">
        <f>-(K28-H28)+N27</f>
        <v>-1151.307</v>
      </c>
      <c r="O28" s="19">
        <f>-(L28-E28)</f>
        <v>13453.7</v>
      </c>
    </row>
    <row r="29" ht="20.05" customHeight="1">
      <c r="B29" s="30"/>
      <c r="C29" s="40"/>
      <c r="D29" s="40"/>
      <c r="E29" s="18">
        <f>21632.5-E28</f>
        <v>10590.8</v>
      </c>
      <c r="F29" s="19">
        <f>-1818.3-F28</f>
        <v>391.5</v>
      </c>
      <c r="G29" s="19">
        <f>-428.9-G28</f>
        <v>-226.7</v>
      </c>
      <c r="H29" s="19">
        <f>0</f>
        <v>0</v>
      </c>
      <c r="I29" s="19">
        <f>856.958-I28-J29-J28</f>
        <v>-418.747</v>
      </c>
      <c r="J29" s="19">
        <f>-219.398-1.215-5.998</f>
        <v>-226.611</v>
      </c>
      <c r="K29" s="19">
        <f>857-K28</f>
        <v>-645.3</v>
      </c>
      <c r="L29" s="19">
        <f>F29+G29+H29</f>
        <v>164.8</v>
      </c>
      <c r="M29" s="19">
        <f>AVERAGE(L26:L29)</f>
        <v>-478.535</v>
      </c>
      <c r="N29" s="19">
        <f>-(K29-H29)+N28</f>
        <v>-506.007</v>
      </c>
      <c r="O29" s="19">
        <f>-(L29-E29)</f>
        <v>10426</v>
      </c>
    </row>
    <row r="30" ht="20.05" customHeight="1">
      <c r="B30" s="30"/>
      <c r="C30" s="40"/>
      <c r="D30" s="40"/>
      <c r="E30" s="18">
        <f>31281.4-SUM(E28:E29)</f>
        <v>9648.9</v>
      </c>
      <c r="F30" s="19">
        <f>-211.8-SUM(F28:F29)</f>
        <v>1606.5</v>
      </c>
      <c r="G30" s="19">
        <f>-780.6-SUM(G28:G29)</f>
        <v>-351.7</v>
      </c>
      <c r="H30" s="19"/>
      <c r="I30" s="19">
        <f>463.631-I29-I28-J30-J29</f>
        <v>-421.864</v>
      </c>
      <c r="J30" s="19">
        <f>-219.398-1.215-J29-5.998+28.537</f>
        <v>28.537</v>
      </c>
      <c r="K30" s="19">
        <f>463.6-SUM(K28:K29)</f>
        <v>-393.4</v>
      </c>
      <c r="L30" s="19">
        <f>F30+G30+H30</f>
        <v>1254.8</v>
      </c>
      <c r="M30" s="19">
        <f>AVERAGE(L27:L30)</f>
        <v>166.05</v>
      </c>
      <c r="N30" s="19">
        <f>-(K30-H30)+N29</f>
        <v>-112.607</v>
      </c>
      <c r="O30" s="19">
        <f>-(L30-E30)</f>
        <v>8394.1</v>
      </c>
    </row>
    <row r="31" ht="20.05" customHeight="1">
      <c r="B31" s="30"/>
      <c r="C31" s="40"/>
      <c r="D31" s="40"/>
      <c r="E31" s="18"/>
      <c r="F31" s="19"/>
      <c r="G31" s="19"/>
      <c r="H31" s="19"/>
      <c r="I31" s="19"/>
      <c r="J31" s="19"/>
      <c r="K31" s="19"/>
      <c r="L31" s="19"/>
      <c r="M31" s="19">
        <f>SUM('Model'!F9:F10)</f>
        <v>268.50653544</v>
      </c>
      <c r="N31" s="19">
        <f>'Model'!F32</f>
        <v>897.509047144</v>
      </c>
      <c r="O31" s="19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29688" style="41" customWidth="1"/>
    <col min="2" max="10" width="9.09375" style="41" customWidth="1"/>
    <col min="11" max="16384" width="16.3516" style="41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4">
        <v>1</v>
      </c>
      <c r="B2" t="s" s="4">
        <v>52</v>
      </c>
      <c r="C2" t="s" s="4">
        <v>53</v>
      </c>
      <c r="D2" t="s" s="4">
        <v>54</v>
      </c>
      <c r="E2" t="s" s="4">
        <v>55</v>
      </c>
      <c r="F2" t="s" s="4">
        <v>11</v>
      </c>
      <c r="G2" t="s" s="4">
        <v>12</v>
      </c>
      <c r="H2" t="s" s="4">
        <v>27</v>
      </c>
      <c r="I2" t="s" s="4">
        <v>56</v>
      </c>
      <c r="J2" t="s" s="4">
        <v>36</v>
      </c>
    </row>
    <row r="3" ht="20.25" customHeight="1">
      <c r="A3" s="26">
        <v>2015</v>
      </c>
      <c r="B3" s="38">
        <v>174.9</v>
      </c>
      <c r="C3" s="39">
        <v>6257.5</v>
      </c>
      <c r="D3" s="39">
        <f>C3-B3</f>
        <v>6082.6</v>
      </c>
      <c r="E3" s="39"/>
      <c r="F3" s="39">
        <v>3170</v>
      </c>
      <c r="G3" s="39">
        <v>3088</v>
      </c>
      <c r="H3" s="39">
        <f>F3+G3-B3-D3</f>
        <v>0.5</v>
      </c>
      <c r="I3" s="39">
        <f>B3-F3</f>
        <v>-2995.1</v>
      </c>
      <c r="J3" s="39"/>
    </row>
    <row r="4" ht="20.05" customHeight="1">
      <c r="A4" s="30"/>
      <c r="B4" s="18">
        <v>84.2</v>
      </c>
      <c r="C4" s="19">
        <v>6564.5</v>
      </c>
      <c r="D4" s="19">
        <f>C4-B4</f>
        <v>6480.3</v>
      </c>
      <c r="E4" s="19"/>
      <c r="F4" s="19">
        <v>3491</v>
      </c>
      <c r="G4" s="19">
        <v>3074</v>
      </c>
      <c r="H4" s="19">
        <f>F4+G4-B4-D4</f>
        <v>0.5</v>
      </c>
      <c r="I4" s="19">
        <f>B4-F4</f>
        <v>-3406.8</v>
      </c>
      <c r="J4" s="19"/>
    </row>
    <row r="5" ht="20.05" customHeight="1">
      <c r="A5" s="30"/>
      <c r="B5" s="18">
        <v>90.8</v>
      </c>
      <c r="C5" s="19">
        <v>6413.3</v>
      </c>
      <c r="D5" s="19">
        <f>C5-B5</f>
        <v>6322.5</v>
      </c>
      <c r="E5" s="19"/>
      <c r="F5" s="19">
        <v>3291</v>
      </c>
      <c r="G5" s="19">
        <v>3122</v>
      </c>
      <c r="H5" s="19">
        <f>F5+G5-B5-D5</f>
        <v>-0.3</v>
      </c>
      <c r="I5" s="19">
        <f>B5-F5</f>
        <v>-3200.2</v>
      </c>
      <c r="J5" s="19"/>
    </row>
    <row r="6" ht="20.05" customHeight="1">
      <c r="A6" s="30"/>
      <c r="B6" s="18">
        <v>126.8</v>
      </c>
      <c r="C6" s="19">
        <v>7800.3</v>
      </c>
      <c r="D6" s="19">
        <f>C6-B6</f>
        <v>7673.5</v>
      </c>
      <c r="E6" s="19"/>
      <c r="F6" s="19">
        <v>4595</v>
      </c>
      <c r="G6" s="19">
        <v>3205</v>
      </c>
      <c r="H6" s="19">
        <f>F6+G6-B6-D6</f>
        <v>-0.3</v>
      </c>
      <c r="I6" s="19">
        <f>B6-F6</f>
        <v>-4468.2</v>
      </c>
      <c r="J6" s="19"/>
    </row>
    <row r="7" ht="20.05" customHeight="1">
      <c r="A7" s="31">
        <v>2016</v>
      </c>
      <c r="B7" s="18">
        <v>86</v>
      </c>
      <c r="C7" s="19">
        <v>7627.4</v>
      </c>
      <c r="D7" s="19">
        <f>C7-B7</f>
        <v>7541.4</v>
      </c>
      <c r="E7" s="19"/>
      <c r="F7" s="19">
        <v>4362</v>
      </c>
      <c r="G7" s="19">
        <v>3265</v>
      </c>
      <c r="H7" s="19">
        <f>F7+G7-B7-D7</f>
        <v>-0.4</v>
      </c>
      <c r="I7" s="19">
        <f>B7-F7</f>
        <v>-4276</v>
      </c>
      <c r="J7" s="19"/>
    </row>
    <row r="8" ht="20.05" customHeight="1">
      <c r="A8" s="30"/>
      <c r="B8" s="18">
        <v>151.3</v>
      </c>
      <c r="C8" s="19">
        <v>7590.8</v>
      </c>
      <c r="D8" s="19">
        <f>C8-B8</f>
        <v>7439.5</v>
      </c>
      <c r="E8" s="19"/>
      <c r="F8" s="19">
        <v>4319</v>
      </c>
      <c r="G8" s="19">
        <v>3271</v>
      </c>
      <c r="H8" s="19">
        <f>F8+G8-B8-D8</f>
        <v>-0.8</v>
      </c>
      <c r="I8" s="19">
        <f>B8-F8</f>
        <v>-4167.7</v>
      </c>
      <c r="J8" s="19"/>
    </row>
    <row r="9" ht="20.05" customHeight="1">
      <c r="A9" s="30"/>
      <c r="B9" s="18">
        <v>108.2</v>
      </c>
      <c r="C9" s="19">
        <v>6722.7</v>
      </c>
      <c r="D9" s="19">
        <f>C9-B9</f>
        <v>6614.5</v>
      </c>
      <c r="E9" s="19"/>
      <c r="F9" s="19">
        <v>3385</v>
      </c>
      <c r="G9" s="19">
        <v>3337</v>
      </c>
      <c r="H9" s="19">
        <f>F9+G9-B9-D9</f>
        <v>-0.7</v>
      </c>
      <c r="I9" s="19">
        <f>B9-F9</f>
        <v>-3276.8</v>
      </c>
      <c r="J9" s="19"/>
    </row>
    <row r="10" ht="20.05" customHeight="1">
      <c r="A10" s="30"/>
      <c r="B10" s="18">
        <v>614.5</v>
      </c>
      <c r="C10" s="19">
        <v>7424.6</v>
      </c>
      <c r="D10" s="19">
        <f>C10-B10</f>
        <v>6810.1</v>
      </c>
      <c r="E10" s="19"/>
      <c r="F10" s="19">
        <v>4015</v>
      </c>
      <c r="G10" s="19">
        <v>3409</v>
      </c>
      <c r="H10" s="19">
        <f>F10+G10-B10-D10</f>
        <v>-0.6</v>
      </c>
      <c r="I10" s="19">
        <f>B10-F10</f>
        <v>-3400.5</v>
      </c>
      <c r="J10" s="19"/>
    </row>
    <row r="11" ht="20.05" customHeight="1">
      <c r="A11" s="31">
        <v>2017</v>
      </c>
      <c r="B11" s="18">
        <v>92.5</v>
      </c>
      <c r="C11" s="19">
        <v>7554.3</v>
      </c>
      <c r="D11" s="19">
        <f>C11-B11</f>
        <v>7461.8</v>
      </c>
      <c r="E11" s="19"/>
      <c r="F11" s="19">
        <v>4077</v>
      </c>
      <c r="G11" s="19">
        <v>3478</v>
      </c>
      <c r="H11" s="19">
        <f>F11+G11-B11-D11</f>
        <v>0.7</v>
      </c>
      <c r="I11" s="19">
        <f>B11-F11</f>
        <v>-3984.5</v>
      </c>
      <c r="J11" s="19"/>
    </row>
    <row r="12" ht="20.05" customHeight="1">
      <c r="A12" s="30"/>
      <c r="B12" s="18">
        <v>312.9</v>
      </c>
      <c r="C12" s="19">
        <v>7413.5</v>
      </c>
      <c r="D12" s="19">
        <f>C12-B12</f>
        <v>7100.6</v>
      </c>
      <c r="E12" s="19"/>
      <c r="F12" s="19">
        <v>3860</v>
      </c>
      <c r="G12" s="19">
        <v>3554</v>
      </c>
      <c r="H12" s="19">
        <f>F12+G12-B12-D12</f>
        <v>0.5</v>
      </c>
      <c r="I12" s="19">
        <f>B12-F12</f>
        <v>-3547.1</v>
      </c>
      <c r="J12" s="19"/>
    </row>
    <row r="13" ht="20.05" customHeight="1">
      <c r="A13" s="30"/>
      <c r="B13" s="18">
        <v>144.8</v>
      </c>
      <c r="C13" s="19">
        <v>7248.2</v>
      </c>
      <c r="D13" s="19">
        <f>C13-B13</f>
        <v>7103.4</v>
      </c>
      <c r="E13" s="19"/>
      <c r="F13" s="19">
        <v>3669</v>
      </c>
      <c r="G13" s="19">
        <v>3579</v>
      </c>
      <c r="H13" s="19">
        <f>F13+G13-B13-D13</f>
        <v>-0.2</v>
      </c>
      <c r="I13" s="19">
        <f>B13-F13</f>
        <v>-3524.2</v>
      </c>
      <c r="J13" s="19"/>
    </row>
    <row r="14" ht="20.05" customHeight="1">
      <c r="A14" s="30"/>
      <c r="B14" s="18">
        <v>366.4</v>
      </c>
      <c r="C14" s="19">
        <v>8873.9</v>
      </c>
      <c r="D14" s="19">
        <f>C14-B14</f>
        <v>8507.5</v>
      </c>
      <c r="E14" s="22"/>
      <c r="F14" s="19">
        <v>5168</v>
      </c>
      <c r="G14" s="19">
        <v>3707</v>
      </c>
      <c r="H14" s="19">
        <f>F14+G14-B14-D14</f>
        <v>1.1</v>
      </c>
      <c r="I14" s="19">
        <f>B14-F14</f>
        <v>-4801.6</v>
      </c>
      <c r="J14" s="19"/>
    </row>
    <row r="15" ht="20.05" customHeight="1">
      <c r="A15" s="31">
        <v>2018</v>
      </c>
      <c r="B15" s="18">
        <v>299.5</v>
      </c>
      <c r="C15" s="19">
        <v>10731.8</v>
      </c>
      <c r="D15" s="19">
        <f>C15-B15</f>
        <v>10432.3</v>
      </c>
      <c r="E15" s="22"/>
      <c r="F15" s="19">
        <v>6805</v>
      </c>
      <c r="G15" s="19">
        <v>3926</v>
      </c>
      <c r="H15" s="19">
        <f>F15+G15-B15-D15</f>
        <v>-0.8</v>
      </c>
      <c r="I15" s="19">
        <f>B15-F15</f>
        <v>-6505.5</v>
      </c>
      <c r="J15" s="19"/>
    </row>
    <row r="16" ht="20.05" customHeight="1">
      <c r="A16" s="30"/>
      <c r="B16" s="18">
        <v>288.2</v>
      </c>
      <c r="C16" s="19">
        <v>11928</v>
      </c>
      <c r="D16" s="19">
        <f>C16-B16</f>
        <v>11639.8</v>
      </c>
      <c r="E16" s="22"/>
      <c r="F16" s="19">
        <v>7587</v>
      </c>
      <c r="G16" s="19">
        <v>4341</v>
      </c>
      <c r="H16" s="19">
        <f>F16+G16-B16-D16</f>
        <v>0</v>
      </c>
      <c r="I16" s="19">
        <f>B16-F16</f>
        <v>-7298.8</v>
      </c>
      <c r="J16" s="19"/>
    </row>
    <row r="17" ht="20.05" customHeight="1">
      <c r="A17" s="30"/>
      <c r="B17" s="18">
        <v>321.1</v>
      </c>
      <c r="C17" s="19">
        <v>12325</v>
      </c>
      <c r="D17" s="19">
        <f>C17-B17</f>
        <v>12003.9</v>
      </c>
      <c r="E17" s="22"/>
      <c r="F17" s="19">
        <v>7784</v>
      </c>
      <c r="G17" s="19">
        <v>4542</v>
      </c>
      <c r="H17" s="19">
        <f>F17+G17-B17-D17</f>
        <v>1</v>
      </c>
      <c r="I17" s="19">
        <f>B17-F17</f>
        <v>-7462.9</v>
      </c>
      <c r="J17" s="19"/>
    </row>
    <row r="18" ht="20.05" customHeight="1">
      <c r="A18" s="30"/>
      <c r="B18" s="18">
        <v>272</v>
      </c>
      <c r="C18" s="19">
        <v>12683</v>
      </c>
      <c r="D18" s="19">
        <f>C18-B18</f>
        <v>12411</v>
      </c>
      <c r="E18" s="22"/>
      <c r="F18" s="19">
        <v>7858</v>
      </c>
      <c r="G18" s="19">
        <v>4826</v>
      </c>
      <c r="H18" s="19">
        <f>F18+G18-B18-D18</f>
        <v>1</v>
      </c>
      <c r="I18" s="19">
        <f>B18-F18</f>
        <v>-7586</v>
      </c>
      <c r="J18" s="19"/>
    </row>
    <row r="19" ht="20.05" customHeight="1">
      <c r="A19" s="31">
        <v>2019</v>
      </c>
      <c r="B19" s="18">
        <v>331.3</v>
      </c>
      <c r="C19" s="19">
        <v>12288.8</v>
      </c>
      <c r="D19" s="19">
        <f>C19-B19</f>
        <v>11957.5</v>
      </c>
      <c r="E19" s="22"/>
      <c r="F19" s="19">
        <v>7396.4</v>
      </c>
      <c r="G19" s="19">
        <v>4892.4</v>
      </c>
      <c r="H19" s="19">
        <f>F19+G19-B19-D19</f>
        <v>0</v>
      </c>
      <c r="I19" s="19">
        <f>B19-F19</f>
        <v>-7065.1</v>
      </c>
      <c r="J19" s="22"/>
    </row>
    <row r="20" ht="20.05" customHeight="1">
      <c r="A20" s="30"/>
      <c r="B20" s="18">
        <v>386</v>
      </c>
      <c r="C20" s="19">
        <v>11140</v>
      </c>
      <c r="D20" s="19">
        <f>C20-B20</f>
        <v>10754</v>
      </c>
      <c r="E20" s="22"/>
      <c r="F20" s="19">
        <v>6338</v>
      </c>
      <c r="G20" s="19">
        <v>4802</v>
      </c>
      <c r="H20" s="19">
        <f>F20+G20-B20-D20</f>
        <v>0</v>
      </c>
      <c r="I20" s="19">
        <f>B20-F20</f>
        <v>-5952</v>
      </c>
      <c r="J20" s="22"/>
    </row>
    <row r="21" ht="20.05" customHeight="1">
      <c r="A21" s="30"/>
      <c r="B21" s="18">
        <v>550</v>
      </c>
      <c r="C21" s="19">
        <v>9828</v>
      </c>
      <c r="D21" s="19">
        <f>C21-B21</f>
        <v>9278</v>
      </c>
      <c r="E21" s="22">
        <v>412</v>
      </c>
      <c r="F21" s="19">
        <v>4973</v>
      </c>
      <c r="G21" s="19">
        <v>4854</v>
      </c>
      <c r="H21" s="19">
        <f>F21+G21-B21-D21</f>
        <v>-1</v>
      </c>
      <c r="I21" s="19">
        <f>B21-F21</f>
        <v>-4423</v>
      </c>
      <c r="J21" s="22"/>
    </row>
    <row r="22" ht="20.05" customHeight="1">
      <c r="A22" s="30"/>
      <c r="B22" s="18">
        <v>571.288</v>
      </c>
      <c r="C22" s="19">
        <v>9747.701999999999</v>
      </c>
      <c r="D22" s="19">
        <f>C22-B22</f>
        <v>9176.414000000001</v>
      </c>
      <c r="E22" s="22">
        <v>457</v>
      </c>
      <c r="F22" s="19">
        <v>4768.986</v>
      </c>
      <c r="G22" s="19">
        <v>4978.7</v>
      </c>
      <c r="H22" s="19">
        <f>F22+G22-B22-D22</f>
        <v>-0.016</v>
      </c>
      <c r="I22" s="19">
        <f>B22-F22</f>
        <v>-4197.698</v>
      </c>
      <c r="J22" s="22"/>
    </row>
    <row r="23" ht="20.05" customHeight="1">
      <c r="A23" s="31">
        <v>2020</v>
      </c>
      <c r="B23" s="18">
        <v>217</v>
      </c>
      <c r="C23" s="19">
        <v>9944</v>
      </c>
      <c r="D23" s="19">
        <f>C23-B23</f>
        <v>9727</v>
      </c>
      <c r="E23" s="22">
        <v>494</v>
      </c>
      <c r="F23" s="19">
        <v>4760</v>
      </c>
      <c r="G23" s="19">
        <v>5184</v>
      </c>
      <c r="H23" s="19">
        <f>F23+G23-B23-D23</f>
        <v>0</v>
      </c>
      <c r="I23" s="19">
        <f>B23-F23</f>
        <v>-4543</v>
      </c>
      <c r="J23" s="22"/>
    </row>
    <row r="24" ht="20.05" customHeight="1">
      <c r="A24" s="30"/>
      <c r="B24" s="18">
        <v>721</v>
      </c>
      <c r="C24" s="19">
        <v>9064</v>
      </c>
      <c r="D24" s="19">
        <f>C24-B24</f>
        <v>8343</v>
      </c>
      <c r="E24" s="19">
        <v>515</v>
      </c>
      <c r="F24" s="19">
        <v>3908</v>
      </c>
      <c r="G24" s="19">
        <v>5155</v>
      </c>
      <c r="H24" s="19">
        <f>F24+G24-B24-D24</f>
        <v>-1</v>
      </c>
      <c r="I24" s="19">
        <f>B24-F24</f>
        <v>-3187</v>
      </c>
      <c r="J24" s="22"/>
    </row>
    <row r="25" ht="20.05" customHeight="1">
      <c r="A25" s="30"/>
      <c r="B25" s="18">
        <v>251</v>
      </c>
      <c r="C25" s="19">
        <v>9789</v>
      </c>
      <c r="D25" s="19">
        <f>C25-B25</f>
        <v>9538</v>
      </c>
      <c r="E25" s="22">
        <v>549</v>
      </c>
      <c r="F25" s="19">
        <v>4411</v>
      </c>
      <c r="G25" s="19">
        <v>5377</v>
      </c>
      <c r="H25" s="19">
        <f>F25+G25-B25-D25</f>
        <v>-1</v>
      </c>
      <c r="I25" s="19">
        <f>B25-F25</f>
        <v>-4160</v>
      </c>
      <c r="J25" s="19"/>
    </row>
    <row r="26" ht="20.05" customHeight="1">
      <c r="A26" s="30"/>
      <c r="B26" s="18">
        <v>2002</v>
      </c>
      <c r="C26" s="19">
        <v>11211</v>
      </c>
      <c r="D26" s="19">
        <f>C26-B26</f>
        <v>9209</v>
      </c>
      <c r="E26" s="22">
        <f>572+9</f>
        <v>581</v>
      </c>
      <c r="F26" s="19">
        <v>5523</v>
      </c>
      <c r="G26" s="19">
        <v>5688</v>
      </c>
      <c r="H26" s="19">
        <f>F26+G26-B26-D26</f>
        <v>0</v>
      </c>
      <c r="I26" s="19">
        <f>B26-F26</f>
        <v>-3521</v>
      </c>
      <c r="J26" s="22"/>
    </row>
    <row r="27" ht="20.05" customHeight="1">
      <c r="A27" s="31">
        <v>2021</v>
      </c>
      <c r="B27" s="18">
        <v>150</v>
      </c>
      <c r="C27" s="19">
        <v>11985</v>
      </c>
      <c r="D27" s="19">
        <f>C27-B27</f>
        <v>11835</v>
      </c>
      <c r="E27" s="22">
        <f>579+11</f>
        <v>590</v>
      </c>
      <c r="F27" s="19">
        <v>6062</v>
      </c>
      <c r="G27" s="19">
        <v>5923</v>
      </c>
      <c r="H27" s="19">
        <f>F27+G27-B27-D27</f>
        <v>0</v>
      </c>
      <c r="I27" s="19">
        <f>B27-F27</f>
        <v>-5912</v>
      </c>
      <c r="J27" s="19"/>
    </row>
    <row r="28" ht="20.05" customHeight="1">
      <c r="A28" s="30"/>
      <c r="B28" s="18">
        <v>158</v>
      </c>
      <c r="C28" s="19">
        <v>11476</v>
      </c>
      <c r="D28" s="19">
        <f>C28-B28</f>
        <v>11318</v>
      </c>
      <c r="E28" s="22">
        <f>604+16</f>
        <v>620</v>
      </c>
      <c r="F28" s="19">
        <v>5479</v>
      </c>
      <c r="G28" s="19">
        <v>5997</v>
      </c>
      <c r="H28" s="19">
        <f>F28+G28-B28-D28</f>
        <v>0</v>
      </c>
      <c r="I28" s="19">
        <f>B28-F28</f>
        <v>-5321</v>
      </c>
      <c r="J28" s="19"/>
    </row>
    <row r="29" ht="20.05" customHeight="1">
      <c r="A29" s="30"/>
      <c r="B29" s="18">
        <v>541</v>
      </c>
      <c r="C29" s="19">
        <v>11129</v>
      </c>
      <c r="D29" s="19">
        <f>C29-B29</f>
        <v>10588</v>
      </c>
      <c r="E29" s="22">
        <f>630+20</f>
        <v>650</v>
      </c>
      <c r="F29" s="19">
        <v>4946</v>
      </c>
      <c r="G29" s="19">
        <v>6183</v>
      </c>
      <c r="H29" s="19">
        <f>F29+G29-B29-D29</f>
        <v>0</v>
      </c>
      <c r="I29" s="19">
        <f>B29-F29</f>
        <v>-4405</v>
      </c>
      <c r="J29" s="19">
        <f>I29</f>
        <v>-4405</v>
      </c>
    </row>
    <row r="30" ht="20.05" customHeight="1">
      <c r="A30" s="30"/>
      <c r="B30" s="18"/>
      <c r="C30" s="19"/>
      <c r="D30" s="19"/>
      <c r="E30" s="22"/>
      <c r="F30" s="19"/>
      <c r="G30" s="19"/>
      <c r="H30" s="19"/>
      <c r="I30" s="19"/>
      <c r="J30" s="19">
        <f>'Model'!F30</f>
        <v>-3476.624363204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8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8594" style="42" customWidth="1"/>
    <col min="2" max="2" width="5.26562" style="42" customWidth="1"/>
    <col min="3" max="4" width="9.89844" style="42" customWidth="1"/>
    <col min="5" max="16384" width="16.3516" style="42" customWidth="1"/>
  </cols>
  <sheetData>
    <row r="1" ht="51.05" customHeight="1"/>
    <row r="2" ht="27.65" customHeight="1">
      <c r="B2" t="s" s="2">
        <v>57</v>
      </c>
      <c r="C2" s="2"/>
      <c r="D2" s="2"/>
    </row>
    <row r="3" ht="20.25" customHeight="1">
      <c r="B3" s="5"/>
      <c r="C3" t="s" s="36">
        <v>58</v>
      </c>
      <c r="D3" t="s" s="36">
        <v>39</v>
      </c>
    </row>
    <row r="4" ht="20.25" customHeight="1">
      <c r="B4" s="26">
        <v>2015</v>
      </c>
      <c r="C4" s="38"/>
      <c r="D4" s="39"/>
    </row>
    <row r="5" ht="20.05" customHeight="1">
      <c r="B5" s="30"/>
      <c r="C5" s="18"/>
      <c r="D5" s="19"/>
    </row>
    <row r="6" ht="20.05" customHeight="1">
      <c r="B6" s="30"/>
      <c r="C6" s="18"/>
      <c r="D6" s="19"/>
    </row>
    <row r="7" ht="20.05" customHeight="1">
      <c r="B7" s="30"/>
      <c r="C7" s="18">
        <v>124.357491</v>
      </c>
      <c r="D7" s="19"/>
    </row>
    <row r="8" ht="20.05" customHeight="1">
      <c r="B8" s="30"/>
      <c r="C8" s="18">
        <v>99.149895</v>
      </c>
      <c r="D8" s="19"/>
    </row>
    <row r="9" ht="20.05" customHeight="1">
      <c r="B9" s="30"/>
      <c r="C9" s="18">
        <v>91.68646200000001</v>
      </c>
      <c r="D9" s="19"/>
    </row>
    <row r="10" ht="20.05" customHeight="1">
      <c r="B10" s="30"/>
      <c r="C10" s="18">
        <v>78.58839399999999</v>
      </c>
      <c r="D10" s="19"/>
    </row>
    <row r="11" ht="20.05" customHeight="1">
      <c r="B11" s="30"/>
      <c r="C11" s="18">
        <v>97.798889</v>
      </c>
      <c r="D11" s="19"/>
    </row>
    <row r="12" ht="20.05" customHeight="1">
      <c r="B12" s="30"/>
      <c r="C12" s="18">
        <v>111.770172</v>
      </c>
      <c r="D12" s="19"/>
    </row>
    <row r="13" ht="20.05" customHeight="1">
      <c r="B13" s="30"/>
      <c r="C13" s="18">
        <v>99.545303</v>
      </c>
      <c r="D13" s="19"/>
    </row>
    <row r="14" ht="20.05" customHeight="1">
      <c r="B14" s="30"/>
      <c r="C14" s="18">
        <v>95.179283</v>
      </c>
      <c r="D14" s="19"/>
    </row>
    <row r="15" ht="20.05" customHeight="1">
      <c r="B15" s="30"/>
      <c r="C15" s="18">
        <v>91.68646200000001</v>
      </c>
      <c r="D15" s="19"/>
    </row>
    <row r="16" ht="20.05" customHeight="1">
      <c r="B16" s="31">
        <v>2016</v>
      </c>
      <c r="C16" s="18">
        <v>86.79652400000001</v>
      </c>
      <c r="D16" s="19"/>
    </row>
    <row r="17" ht="20.05" customHeight="1">
      <c r="B17" s="30"/>
      <c r="C17" s="18">
        <v>120.502213</v>
      </c>
      <c r="D17" s="19"/>
    </row>
    <row r="18" ht="20.05" customHeight="1">
      <c r="B18" s="30"/>
      <c r="C18" s="18">
        <v>128.361053</v>
      </c>
      <c r="D18" s="19"/>
    </row>
    <row r="19" ht="20.05" customHeight="1">
      <c r="B19" s="30"/>
      <c r="C19" s="18">
        <v>112.643364</v>
      </c>
      <c r="D19" s="19"/>
    </row>
    <row r="20" ht="20.05" customHeight="1">
      <c r="B20" s="30"/>
      <c r="C20" s="18">
        <v>102.164909</v>
      </c>
      <c r="D20" s="19"/>
    </row>
    <row r="21" ht="20.05" customHeight="1">
      <c r="B21" s="30"/>
      <c r="C21" s="18">
        <v>144.183517</v>
      </c>
      <c r="D21" s="19"/>
    </row>
    <row r="22" ht="20.05" customHeight="1">
      <c r="B22" s="30"/>
      <c r="C22" s="18">
        <v>150.491547</v>
      </c>
      <c r="D22" s="19"/>
    </row>
    <row r="23" ht="20.05" customHeight="1">
      <c r="B23" s="30"/>
      <c r="C23" s="18">
        <v>120.753685</v>
      </c>
      <c r="D23" s="19"/>
    </row>
    <row r="24" ht="20.05" customHeight="1">
      <c r="B24" s="30"/>
      <c r="C24" s="18">
        <v>118.050247</v>
      </c>
      <c r="D24" s="19"/>
    </row>
    <row r="25" ht="20.05" customHeight="1">
      <c r="B25" s="30"/>
      <c r="C25" s="18">
        <v>109.939926</v>
      </c>
      <c r="D25" s="19"/>
    </row>
    <row r="26" ht="20.05" customHeight="1">
      <c r="B26" s="30"/>
      <c r="C26" s="18">
        <v>108.137642</v>
      </c>
      <c r="D26" s="19"/>
    </row>
    <row r="27" ht="20.05" customHeight="1">
      <c r="B27" s="30"/>
      <c r="C27" s="18">
        <v>109.939926</v>
      </c>
      <c r="D27" s="19"/>
    </row>
    <row r="28" ht="20.05" customHeight="1">
      <c r="B28" s="31">
        <v>2017</v>
      </c>
      <c r="C28" s="18">
        <v>110.84108</v>
      </c>
      <c r="D28" s="19"/>
    </row>
    <row r="29" ht="20.05" customHeight="1">
      <c r="B29" s="30"/>
      <c r="C29" s="18">
        <v>109.03878</v>
      </c>
      <c r="D29" s="19"/>
    </row>
    <row r="30" ht="20.05" customHeight="1">
      <c r="B30" s="30"/>
      <c r="C30" s="18">
        <v>131.567459</v>
      </c>
      <c r="D30" s="19"/>
    </row>
    <row r="31" ht="20.05" customHeight="1">
      <c r="B31" s="30"/>
      <c r="C31" s="18">
        <v>118.050247</v>
      </c>
      <c r="D31" s="19"/>
    </row>
    <row r="32" ht="20.05" customHeight="1">
      <c r="B32" s="30"/>
      <c r="C32" s="18">
        <v>113.54451</v>
      </c>
      <c r="D32" s="19"/>
    </row>
    <row r="33" ht="20.05" customHeight="1">
      <c r="B33" s="30"/>
      <c r="C33" s="18">
        <v>115.346817</v>
      </c>
      <c r="D33" s="19"/>
    </row>
    <row r="34" ht="20.05" customHeight="1">
      <c r="B34" s="30"/>
      <c r="C34" s="18">
        <v>130.40126</v>
      </c>
      <c r="D34" s="19"/>
    </row>
    <row r="35" ht="20.05" customHeight="1">
      <c r="B35" s="30"/>
      <c r="C35" s="18">
        <v>154.618637</v>
      </c>
      <c r="D35" s="19"/>
    </row>
    <row r="36" ht="20.05" customHeight="1">
      <c r="B36" s="30"/>
      <c r="C36" s="18">
        <v>147.167145</v>
      </c>
      <c r="D36" s="19"/>
    </row>
    <row r="37" ht="20.05" customHeight="1">
      <c r="B37" s="30"/>
      <c r="C37" s="18">
        <v>135.989883</v>
      </c>
      <c r="D37" s="19"/>
    </row>
    <row r="38" ht="20.05" customHeight="1">
      <c r="B38" s="30"/>
      <c r="C38" s="18">
        <v>136.921326</v>
      </c>
      <c r="D38" s="19"/>
    </row>
    <row r="39" ht="20.05" customHeight="1">
      <c r="B39" s="30"/>
      <c r="C39" s="18">
        <v>156.481506</v>
      </c>
      <c r="D39" s="19"/>
    </row>
    <row r="40" ht="20.05" customHeight="1">
      <c r="B40" s="31">
        <v>2018</v>
      </c>
      <c r="C40" s="18">
        <v>185.356079</v>
      </c>
      <c r="D40" s="19"/>
    </row>
    <row r="41" ht="20.05" customHeight="1">
      <c r="B41" s="30"/>
      <c r="C41" s="18">
        <v>235.653702</v>
      </c>
      <c r="D41" s="19"/>
    </row>
    <row r="42" ht="20.05" customHeight="1">
      <c r="B42" s="30"/>
      <c r="C42" s="18">
        <v>318.551636</v>
      </c>
      <c r="D42" s="19"/>
    </row>
    <row r="43" ht="20.05" customHeight="1">
      <c r="B43" s="30"/>
      <c r="C43" s="18">
        <v>478.758942</v>
      </c>
      <c r="D43" s="19"/>
    </row>
    <row r="44" ht="20.05" customHeight="1">
      <c r="B44" s="30"/>
      <c r="C44" s="18">
        <v>464.87204</v>
      </c>
      <c r="D44" s="19"/>
    </row>
    <row r="45" ht="20.05" customHeight="1">
      <c r="B45" s="30"/>
      <c r="C45" s="18">
        <v>594.426514</v>
      </c>
      <c r="D45" s="19"/>
    </row>
    <row r="46" ht="20.05" customHeight="1">
      <c r="B46" s="30"/>
      <c r="C46" s="18">
        <v>510.597137</v>
      </c>
      <c r="D46" s="19"/>
    </row>
    <row r="47" ht="20.05" customHeight="1">
      <c r="B47" s="30"/>
      <c r="C47" s="18">
        <v>457.25119</v>
      </c>
      <c r="D47" s="19"/>
    </row>
    <row r="48" ht="20.05" customHeight="1">
      <c r="B48" s="30"/>
      <c r="C48" s="18">
        <v>323.886261</v>
      </c>
      <c r="D48" s="19"/>
    </row>
    <row r="49" ht="20.05" customHeight="1">
      <c r="B49" s="30"/>
      <c r="C49" s="18">
        <v>421.052124</v>
      </c>
      <c r="D49" s="19"/>
    </row>
    <row r="50" ht="20.05" customHeight="1">
      <c r="B50" s="30"/>
      <c r="C50" s="18">
        <v>419.146912</v>
      </c>
      <c r="D50" s="19"/>
    </row>
    <row r="51" ht="20.05" customHeight="1">
      <c r="B51" s="30"/>
      <c r="C51" s="18">
        <v>436.293823</v>
      </c>
      <c r="D51" s="19"/>
    </row>
    <row r="52" ht="20.05" customHeight="1">
      <c r="B52" s="31">
        <v>2019</v>
      </c>
      <c r="C52" s="18">
        <v>398.189575</v>
      </c>
      <c r="D52" s="19"/>
    </row>
    <row r="53" ht="20.05" customHeight="1">
      <c r="B53" s="30"/>
      <c r="C53" s="18">
        <v>337.222748</v>
      </c>
      <c r="D53" s="19"/>
    </row>
    <row r="54" ht="20.05" customHeight="1">
      <c r="B54" s="30"/>
      <c r="C54" s="18">
        <v>276.25592</v>
      </c>
      <c r="D54" s="19"/>
    </row>
    <row r="55" ht="20.05" customHeight="1">
      <c r="B55" s="30"/>
      <c r="C55" s="18">
        <v>223.862549</v>
      </c>
      <c r="D55" s="19"/>
    </row>
    <row r="56" ht="20.05" customHeight="1">
      <c r="B56" s="30"/>
      <c r="C56" s="18">
        <v>384</v>
      </c>
      <c r="D56" s="19"/>
    </row>
    <row r="57" ht="20.05" customHeight="1">
      <c r="B57" s="30"/>
      <c r="C57" s="18">
        <v>420</v>
      </c>
      <c r="D57" s="19"/>
    </row>
    <row r="58" ht="20.05" customHeight="1">
      <c r="B58" s="30"/>
      <c r="C58" s="18">
        <v>310</v>
      </c>
      <c r="D58" s="19"/>
    </row>
    <row r="59" ht="20.05" customHeight="1">
      <c r="B59" s="30"/>
      <c r="C59" s="18">
        <v>365</v>
      </c>
      <c r="D59" s="19"/>
    </row>
    <row r="60" ht="20.05" customHeight="1">
      <c r="B60" s="30"/>
      <c r="C60" s="18">
        <v>352</v>
      </c>
      <c r="D60" s="19"/>
    </row>
    <row r="61" ht="20.05" customHeight="1">
      <c r="B61" s="30"/>
      <c r="C61" s="18">
        <v>268</v>
      </c>
      <c r="D61" s="23"/>
    </row>
    <row r="62" ht="20.05" customHeight="1">
      <c r="B62" s="30"/>
      <c r="C62" s="18">
        <v>359</v>
      </c>
      <c r="D62" s="23"/>
    </row>
    <row r="63" ht="20.05" customHeight="1">
      <c r="B63" s="30"/>
      <c r="C63" s="18">
        <v>318</v>
      </c>
      <c r="D63" s="23"/>
    </row>
    <row r="64" ht="20.05" customHeight="1">
      <c r="B64" s="31">
        <v>2020</v>
      </c>
      <c r="C64" s="18">
        <v>324</v>
      </c>
      <c r="D64" s="23"/>
    </row>
    <row r="65" ht="20.05" customHeight="1">
      <c r="B65" s="30"/>
      <c r="C65" s="18">
        <v>187</v>
      </c>
      <c r="D65" s="23"/>
    </row>
    <row r="66" ht="20.05" customHeight="1">
      <c r="B66" s="30"/>
      <c r="C66" s="18">
        <v>252</v>
      </c>
      <c r="D66" s="23"/>
    </row>
    <row r="67" ht="20.05" customHeight="1">
      <c r="B67" s="30"/>
      <c r="C67" s="18">
        <v>251</v>
      </c>
      <c r="D67" s="23"/>
    </row>
    <row r="68" ht="20.05" customHeight="1">
      <c r="B68" s="30"/>
      <c r="C68" s="18">
        <v>251</v>
      </c>
      <c r="D68" s="23"/>
    </row>
    <row r="69" ht="20.05" customHeight="1">
      <c r="B69" s="30"/>
      <c r="C69" s="18">
        <v>294</v>
      </c>
      <c r="D69" s="23"/>
    </row>
    <row r="70" ht="20.05" customHeight="1">
      <c r="B70" s="30"/>
      <c r="C70" s="18">
        <v>344</v>
      </c>
      <c r="D70" s="23"/>
    </row>
    <row r="71" ht="20.05" customHeight="1">
      <c r="B71" s="30"/>
      <c r="C71" s="18">
        <v>309</v>
      </c>
      <c r="D71" s="23"/>
    </row>
    <row r="72" ht="20.05" customHeight="1">
      <c r="B72" s="30"/>
      <c r="C72" s="18">
        <v>349</v>
      </c>
      <c r="D72" s="23"/>
    </row>
    <row r="73" ht="20.05" customHeight="1">
      <c r="B73" s="30"/>
      <c r="C73" s="18">
        <v>344</v>
      </c>
      <c r="D73" s="23"/>
    </row>
    <row r="74" ht="20.05" customHeight="1">
      <c r="B74" s="30"/>
      <c r="C74" s="18">
        <v>440</v>
      </c>
      <c r="D74" s="23"/>
    </row>
    <row r="75" ht="20.05" customHeight="1">
      <c r="B75" s="30"/>
      <c r="C75" s="18">
        <v>554</v>
      </c>
      <c r="D75" s="23"/>
    </row>
    <row r="76" ht="20.05" customHeight="1">
      <c r="B76" s="31">
        <v>2021</v>
      </c>
      <c r="C76" s="18">
        <v>526</v>
      </c>
      <c r="D76" s="23"/>
    </row>
    <row r="77" ht="20.05" customHeight="1">
      <c r="B77" s="30"/>
      <c r="C77" s="18">
        <v>526</v>
      </c>
      <c r="D77" s="23"/>
    </row>
    <row r="78" ht="20.05" customHeight="1">
      <c r="B78" s="30"/>
      <c r="C78" s="18">
        <v>505</v>
      </c>
      <c r="D78" s="23"/>
    </row>
    <row r="79" ht="20.05" customHeight="1">
      <c r="B79" s="30"/>
      <c r="C79" s="18">
        <v>610</v>
      </c>
      <c r="D79" s="23"/>
    </row>
    <row r="80" ht="20.05" customHeight="1">
      <c r="B80" s="30"/>
      <c r="C80" s="18">
        <v>600</v>
      </c>
      <c r="D80" s="23"/>
    </row>
    <row r="81" ht="20.05" customHeight="1">
      <c r="B81" s="30"/>
      <c r="C81" s="18">
        <v>690</v>
      </c>
      <c r="D81" s="23"/>
    </row>
    <row r="82" ht="20.05" customHeight="1">
      <c r="B82" s="30"/>
      <c r="C82" s="18">
        <v>660</v>
      </c>
      <c r="D82" s="23"/>
    </row>
    <row r="83" ht="20.05" customHeight="1">
      <c r="B83" s="30"/>
      <c r="C83" s="18">
        <v>605</v>
      </c>
      <c r="D83" s="23"/>
    </row>
    <row r="84" ht="20.05" customHeight="1">
      <c r="B84" s="30"/>
      <c r="C84" s="18">
        <v>605</v>
      </c>
      <c r="D84" s="23"/>
    </row>
    <row r="85" ht="20.05" customHeight="1">
      <c r="B85" s="30"/>
      <c r="C85" s="18">
        <v>650</v>
      </c>
      <c r="D85" s="23"/>
    </row>
    <row r="86" ht="20.05" customHeight="1">
      <c r="B86" s="30"/>
      <c r="C86" s="18">
        <v>655</v>
      </c>
      <c r="D86" s="19">
        <f>C86</f>
        <v>655</v>
      </c>
    </row>
    <row r="87" ht="20.05" customHeight="1">
      <c r="B87" s="30"/>
      <c r="C87" s="18"/>
      <c r="D87" s="22">
        <f>'Model'!F42</f>
        <v>770.929032470546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