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Data " sheetId="2" r:id="rId5"/>
    <sheet name="Capital" sheetId="3" r:id="rId6"/>
  </sheets>
</workbook>
</file>

<file path=xl/sharedStrings.xml><?xml version="1.0" encoding="utf-8"?>
<sst xmlns="http://schemas.openxmlformats.org/spreadsheetml/2006/main" uniqueCount="47">
  <si>
    <t>Model</t>
  </si>
  <si>
    <t>$m</t>
  </si>
  <si>
    <t>4Q 2021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</si>
  <si>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</si>
  <si>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</si>
  <si>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</si>
  <si>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</si>
  <si>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</si>
  <si>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Non cash costs </t>
  </si>
  <si>
    <t xml:space="preserve">Profit </t>
  </si>
  <si>
    <t xml:space="preserve">Operating </t>
  </si>
  <si>
    <t xml:space="preserve">Investment 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</si>
  <si>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</si>
  <si>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</si>
  <si>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</si>
  <si>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</si>
  <si>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</si>
  <si>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</si>
  <si>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</si>
  <si>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Balance sheet </t>
  </si>
  <si>
    <t xml:space="preserve">Other assets </t>
  </si>
  <si>
    <t xml:space="preserve">Depreciation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</si>
  <si>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</si>
  <si>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</si>
  <si>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</si>
  <si>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</si>
  <si>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</si>
  <si>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 xml:space="preserve">P/assets </t>
  </si>
  <si>
    <t xml:space="preserve">Yield </t>
  </si>
  <si>
    <t xml:space="preserve">Payback </t>
  </si>
  <si>
    <t xml:space="preserve">Forecast </t>
  </si>
  <si>
    <t xml:space="preserve">Value </t>
  </si>
  <si>
    <t xml:space="preserve">Shares </t>
  </si>
  <si>
    <t xml:space="preserve">Current </t>
  </si>
  <si>
    <t xml:space="preserve">Target </t>
  </si>
  <si>
    <t xml:space="preserve">V target </t>
  </si>
  <si>
    <t xml:space="preserve">12 month growth </t>
  </si>
  <si>
    <t>Data</t>
  </si>
  <si>
    <t xml:space="preserve">Receipts </t>
  </si>
  <si>
    <t>Leases</t>
  </si>
  <si>
    <t>Others</t>
  </si>
  <si>
    <t xml:space="preserve">Assets </t>
  </si>
  <si>
    <t xml:space="preserve">Cashflow costs </t>
  </si>
  <si>
    <t>ENRG</t>
  </si>
  <si>
    <t>Capital</t>
  </si>
  <si>
    <t>$ m</t>
  </si>
  <si>
    <t>Total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</si>
</sst>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1" fontId="2" fillId="2" borderId="1" applyNumberFormat="1" applyFont="1" applyFill="1" applyBorder="1" applyAlignment="1" applyProtection="0">
      <alignment horizontal="right" vertical="top" wrapText="1"/>
    </xf>
    <xf numFmtId="0" fontId="2" fillId="3" borderId="2" applyNumberFormat="1" applyFont="1" applyFill="1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3" borderId="5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662072</xdr:colOff>
      <xdr:row>0</xdr:row>
      <xdr:rowOff>315483</xdr:rowOff>
    </xdr:from>
    <xdr:to>
      <xdr:col>12</xdr:col>
      <xdr:colOff>93475</xdr:colOff>
      <xdr:row>41</xdr:row>
      <xdr:rowOff>175761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497472" y="315483"/>
          <a:ext cx="8143604" cy="1040191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5" width="8.5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t="s" s="3">
        <v>2</v>
      </c>
      <c r="C2" s="4"/>
      <c r="D2" s="4"/>
      <c r="E2" s="4"/>
    </row>
    <row r="3" ht="20.25" customHeight="1">
      <c r="A3" t="s" s="5">
        <v>3</v>
      </c>
      <c r="B3" s="6">
        <f>AVERAGE('Data '!E3:G3)</f>
        <v>0.187501114268728</v>
      </c>
      <c r="C3" s="7"/>
      <c r="D3" s="7"/>
      <c r="E3" s="8">
        <f>AVERAGE(B4:E4)</f>
        <v>0.075</v>
      </c>
    </row>
    <row r="4" ht="20.05" customHeight="1">
      <c r="A4" t="s" s="9">
        <v>4</v>
      </c>
      <c r="B4" s="10">
        <v>0.15</v>
      </c>
      <c r="C4" s="11">
        <v>-0.03</v>
      </c>
      <c r="D4" s="11">
        <v>0.07000000000000001</v>
      </c>
      <c r="E4" s="11">
        <v>0.11</v>
      </c>
    </row>
    <row r="5" ht="20.05" customHeight="1">
      <c r="A5" t="s" s="9">
        <v>5</v>
      </c>
      <c r="B5" s="12">
        <f>'Data '!G4*(1+B4)</f>
        <v>148.6651</v>
      </c>
      <c r="C5" s="13">
        <f>B5*(1+C4)</f>
        <v>144.205147</v>
      </c>
      <c r="D5" s="13">
        <f>C5*(1+D4)</f>
        <v>154.29950729</v>
      </c>
      <c r="E5" s="13">
        <f>D5*(1+E4)</f>
        <v>171.2724530919</v>
      </c>
    </row>
    <row r="6" ht="20.05" customHeight="1">
      <c r="A6" t="s" s="9">
        <v>6</v>
      </c>
      <c r="B6" s="14">
        <f>'Data '!F20</f>
        <v>-0.601263911154481</v>
      </c>
      <c r="C6" s="15">
        <f>B6</f>
        <v>-0.601263911154481</v>
      </c>
      <c r="D6" s="15">
        <f>C6</f>
        <v>-0.601263911154481</v>
      </c>
      <c r="E6" s="15">
        <f>D6</f>
        <v>-0.601263911154481</v>
      </c>
    </row>
    <row r="7" ht="20.05" customHeight="1">
      <c r="A7" t="s" s="9">
        <v>7</v>
      </c>
      <c r="B7" s="12">
        <f>B5*B6</f>
        <v>-89.386959478172</v>
      </c>
      <c r="C7" s="16">
        <f>C5*C6</f>
        <v>-86.7053506938269</v>
      </c>
      <c r="D7" s="16">
        <f>D5*D6</f>
        <v>-92.77472524239479</v>
      </c>
      <c r="E7" s="16">
        <f>E5*E6</f>
        <v>-102.979945019058</v>
      </c>
    </row>
    <row r="8" ht="20.05" customHeight="1">
      <c r="A8" t="s" s="9">
        <v>8</v>
      </c>
      <c r="B8" s="12">
        <f>-'Data '!G18</f>
        <v>-50.326</v>
      </c>
      <c r="C8" s="13">
        <f>B8</f>
        <v>-50.326</v>
      </c>
      <c r="D8" s="13">
        <f>C8</f>
        <v>-50.326</v>
      </c>
      <c r="E8" s="13">
        <f>D8</f>
        <v>-50.326</v>
      </c>
    </row>
    <row r="9" ht="20.05" customHeight="1">
      <c r="A9" t="s" s="9">
        <v>9</v>
      </c>
      <c r="B9" s="12">
        <f>B5+B7+B8</f>
        <v>8.952140521827999</v>
      </c>
      <c r="C9" s="16">
        <f>C5+C7+C8</f>
        <v>7.1737963061731</v>
      </c>
      <c r="D9" s="16">
        <f>D5+D7+D8</f>
        <v>11.1987820476052</v>
      </c>
      <c r="E9" s="16">
        <f>E5+E7+E8</f>
        <v>17.966508072842</v>
      </c>
    </row>
    <row r="10" ht="20.05" customHeight="1">
      <c r="A10" t="s" s="9">
        <v>10</v>
      </c>
      <c r="B10" s="12">
        <f>B5+B7</f>
        <v>59.278140521828</v>
      </c>
      <c r="C10" s="16">
        <f>C5+C7</f>
        <v>57.4997963061731</v>
      </c>
      <c r="D10" s="16">
        <f>D5+D7</f>
        <v>61.5247820476052</v>
      </c>
      <c r="E10" s="16">
        <f>E5+E7</f>
        <v>68.292508072842</v>
      </c>
    </row>
    <row r="11" ht="20.05" customHeight="1">
      <c r="A11" t="s" s="9">
        <v>11</v>
      </c>
      <c r="B11" s="12">
        <f>AVERAGE('Data '!F9:G9)</f>
        <v>-54.12</v>
      </c>
      <c r="C11" s="13">
        <f>B11</f>
        <v>-54.12</v>
      </c>
      <c r="D11" s="13">
        <f>C11</f>
        <v>-54.12</v>
      </c>
      <c r="E11" s="13">
        <f>D11</f>
        <v>-54.12</v>
      </c>
    </row>
    <row r="12" ht="20.05" customHeight="1">
      <c r="A12" t="s" s="9">
        <v>12</v>
      </c>
      <c r="B12" s="12">
        <f>-'Data '!G25/20</f>
        <v>-32.0501</v>
      </c>
      <c r="C12" s="13">
        <f>-B22/20</f>
        <v>-30.447595</v>
      </c>
      <c r="D12" s="13">
        <f>-C22/20</f>
        <v>-28.92521525</v>
      </c>
      <c r="E12" s="13">
        <f>-D22/20</f>
        <v>-27.4789544875</v>
      </c>
    </row>
    <row r="13" ht="20.05" customHeight="1">
      <c r="A13" t="s" s="9">
        <v>13</v>
      </c>
      <c r="B13" s="12">
        <f>IF(B9&gt;0,-B9*0,0)</f>
        <v>0</v>
      </c>
      <c r="C13" s="16">
        <f>IF(C9&gt;0,-C9*0,0)</f>
        <v>0</v>
      </c>
      <c r="D13" s="16">
        <f>IF(D9&gt;0,-D9*0,0)</f>
        <v>0</v>
      </c>
      <c r="E13" s="16">
        <f>IF(E9&gt;0,-E9*0,0)</f>
        <v>0</v>
      </c>
    </row>
    <row r="14" ht="20.05" customHeight="1">
      <c r="A14" t="s" s="9">
        <v>14</v>
      </c>
      <c r="B14" s="12">
        <f>B10+B11+B12+B13</f>
        <v>-26.891959478172</v>
      </c>
      <c r="C14" s="13">
        <f>C10+C11+C12+C13</f>
        <v>-27.0677986938269</v>
      </c>
      <c r="D14" s="13">
        <f>D10+D11+D12+D13</f>
        <v>-21.5204332023948</v>
      </c>
      <c r="E14" s="13">
        <f>E10+E11+E12+E13</f>
        <v>-13.306446414658</v>
      </c>
    </row>
    <row r="15" ht="20.05" customHeight="1">
      <c r="A15" t="s" s="9">
        <v>15</v>
      </c>
      <c r="B15" s="12">
        <f>-MIN(0,B14)</f>
        <v>26.891959478172</v>
      </c>
      <c r="C15" s="13">
        <f>-MIN(B23,C14)</f>
        <v>27.0677986938269</v>
      </c>
      <c r="D15" s="13">
        <f>-MIN(C23,D14)</f>
        <v>21.5204332023948</v>
      </c>
      <c r="E15" s="13">
        <f>-MIN(D23,E14)</f>
        <v>13.306446414658</v>
      </c>
    </row>
    <row r="16" ht="20.05" customHeight="1">
      <c r="A16" t="s" s="9">
        <v>16</v>
      </c>
      <c r="B16" s="12">
        <f>'Data '!G16</f>
        <v>25.715</v>
      </c>
      <c r="C16" s="13">
        <f>B18</f>
        <v>25.715</v>
      </c>
      <c r="D16" s="13">
        <f>C18</f>
        <v>25.715</v>
      </c>
      <c r="E16" s="13">
        <f>D18</f>
        <v>25.715</v>
      </c>
    </row>
    <row r="17" ht="20.05" customHeight="1">
      <c r="A17" t="s" s="9">
        <v>17</v>
      </c>
      <c r="B17" s="12">
        <f>B10+B11+B12+B13+B15</f>
        <v>0</v>
      </c>
      <c r="C17" s="13">
        <f>C10+C11+C12+C13+C15</f>
        <v>0</v>
      </c>
      <c r="D17" s="13">
        <f>D10+D11+D12+D13+D15</f>
        <v>0</v>
      </c>
      <c r="E17" s="13">
        <f>E10+E11+E12+E13+E15</f>
        <v>0</v>
      </c>
    </row>
    <row r="18" ht="20.05" customHeight="1">
      <c r="A18" t="s" s="9">
        <v>18</v>
      </c>
      <c r="B18" s="12">
        <f>B16+B17</f>
        <v>25.715</v>
      </c>
      <c r="C18" s="13">
        <f>C16+C17</f>
        <v>25.715</v>
      </c>
      <c r="D18" s="13">
        <f>D16+D17</f>
        <v>25.715</v>
      </c>
      <c r="E18" s="13">
        <f>E16+E17</f>
        <v>25.715</v>
      </c>
    </row>
    <row r="19" ht="20.05" customHeight="1">
      <c r="A19" t="s" s="17">
        <v>19</v>
      </c>
      <c r="B19" s="18"/>
      <c r="C19" s="19"/>
      <c r="D19" s="19"/>
      <c r="E19" s="19"/>
    </row>
    <row r="20" ht="20.05" customHeight="1">
      <c r="A20" t="s" s="9">
        <v>20</v>
      </c>
      <c r="B20" s="12">
        <f>'Data '!G24+'Data '!G23-B11</f>
        <v>1096.971</v>
      </c>
      <c r="C20" s="13">
        <f>B20-C11</f>
        <v>1151.091</v>
      </c>
      <c r="D20" s="13">
        <f>C20-D11</f>
        <v>1205.211</v>
      </c>
      <c r="E20" s="13">
        <f>D20-E11</f>
        <v>1259.331</v>
      </c>
    </row>
    <row r="21" ht="20.05" customHeight="1">
      <c r="A21" t="s" s="9">
        <v>21</v>
      </c>
      <c r="B21" s="12">
        <f>'Data '!G23-B8</f>
        <v>50.326</v>
      </c>
      <c r="C21" s="13">
        <f>B21-C8</f>
        <v>100.652</v>
      </c>
      <c r="D21" s="13">
        <f>C21-D8</f>
        <v>150.978</v>
      </c>
      <c r="E21" s="13">
        <f>D21-E8</f>
        <v>201.304</v>
      </c>
    </row>
    <row r="22" ht="20.05" customHeight="1">
      <c r="A22" t="s" s="9">
        <v>12</v>
      </c>
      <c r="B22" s="12">
        <f>'Data '!G25+B12</f>
        <v>608.9519</v>
      </c>
      <c r="C22" s="13">
        <f>B22+C12</f>
        <v>578.504305</v>
      </c>
      <c r="D22" s="13">
        <f>C22+D12</f>
        <v>549.57908975</v>
      </c>
      <c r="E22" s="13">
        <f>D22+E12</f>
        <v>522.1001352625</v>
      </c>
    </row>
    <row r="23" ht="20.05" customHeight="1">
      <c r="A23" t="s" s="9">
        <v>15</v>
      </c>
      <c r="B23" s="12">
        <f>B15</f>
        <v>26.891959478172</v>
      </c>
      <c r="C23" s="13">
        <f>B23+C15</f>
        <v>53.9597581719989</v>
      </c>
      <c r="D23" s="13">
        <f>C23+D15</f>
        <v>75.4801913743937</v>
      </c>
      <c r="E23" s="13">
        <f>D23+E15</f>
        <v>88.7866377890517</v>
      </c>
    </row>
    <row r="24" ht="20.05" customHeight="1">
      <c r="A24" t="s" s="9">
        <v>13</v>
      </c>
      <c r="B24" s="12">
        <f>'Data '!G26+B13+B9</f>
        <v>436.516140521828</v>
      </c>
      <c r="C24" s="13">
        <f>B24+C13+C9</f>
        <v>443.689936828001</v>
      </c>
      <c r="D24" s="13">
        <f>C24+D13+D9</f>
        <v>454.888718875606</v>
      </c>
      <c r="E24" s="13">
        <f>D24+E13+E9</f>
        <v>472.855226948448</v>
      </c>
    </row>
    <row r="25" ht="20.05" customHeight="1">
      <c r="A25" t="s" s="9">
        <v>22</v>
      </c>
      <c r="B25" s="12">
        <f>B22+B23+B24-B18-(B20-B21)</f>
        <v>0</v>
      </c>
      <c r="C25" s="13">
        <f>C22+C23+C24-C18-(C20-C21)</f>
        <v>-1e-13</v>
      </c>
      <c r="D25" s="13">
        <f>D22+D23+D24-D18-(D20-D21)</f>
        <v>-3e-13</v>
      </c>
      <c r="E25" s="13">
        <f>E22+E23+E24-E18-(E20-E21)</f>
        <v>-3e-13</v>
      </c>
    </row>
    <row r="26" ht="20.05" customHeight="1">
      <c r="A26" t="s" s="9">
        <v>23</v>
      </c>
      <c r="B26" s="12">
        <f>B18-B22-B23</f>
        <v>-610.128859478172</v>
      </c>
      <c r="C26" s="13">
        <f>C18-C22-C23</f>
        <v>-606.749063171999</v>
      </c>
      <c r="D26" s="13">
        <f>D18-D22-D23</f>
        <v>-599.344281124394</v>
      </c>
      <c r="E26" s="13">
        <f>E18-E22-E23</f>
        <v>-585.171773051552</v>
      </c>
    </row>
    <row r="27" ht="20.05" customHeight="1">
      <c r="A27" t="s" s="17">
        <v>24</v>
      </c>
      <c r="B27" s="18"/>
      <c r="C27" s="19"/>
      <c r="D27" s="19"/>
      <c r="E27" s="19"/>
    </row>
    <row r="28" ht="20.05" customHeight="1">
      <c r="A28" t="s" s="9">
        <v>25</v>
      </c>
      <c r="B28" s="12">
        <f>'Data '!G32-(B12+B13)</f>
        <v>-743.874006496270</v>
      </c>
      <c r="C28" s="13">
        <f>B28-(C12+C15+C13)</f>
        <v>-740.494210190097</v>
      </c>
      <c r="D28" s="13">
        <f>C28-(D12+D15+D13)</f>
        <v>-733.089428142492</v>
      </c>
      <c r="E28" s="13">
        <f>D28-(E12+E15+E13)</f>
        <v>-718.916920069650</v>
      </c>
    </row>
    <row r="29" ht="20.05" customHeight="1">
      <c r="A29" t="s" s="9">
        <v>26</v>
      </c>
      <c r="B29" s="18"/>
      <c r="C29" s="19"/>
      <c r="D29" s="19"/>
      <c r="E29" s="13">
        <f>1055/14</f>
        <v>75.3571428571429</v>
      </c>
    </row>
    <row r="30" ht="20.05" customHeight="1">
      <c r="A30" t="s" s="9">
        <v>27</v>
      </c>
      <c r="B30" s="18"/>
      <c r="C30" s="19"/>
      <c r="D30" s="19"/>
      <c r="E30" s="20">
        <f>E29/(E18+E20-E21)</f>
        <v>0.06953420911724641</v>
      </c>
    </row>
    <row r="31" ht="20.05" customHeight="1">
      <c r="A31" t="s" s="9">
        <v>28</v>
      </c>
      <c r="B31" s="18"/>
      <c r="C31" s="19"/>
      <c r="D31" s="19"/>
      <c r="E31" s="15">
        <f>-(B13+C13+D13+E13)/E29</f>
        <v>0</v>
      </c>
    </row>
    <row r="32" ht="20.05" customHeight="1">
      <c r="A32" t="s" s="9">
        <v>3</v>
      </c>
      <c r="B32" s="18"/>
      <c r="C32" s="19"/>
      <c r="D32" s="19"/>
      <c r="E32" s="13">
        <f>SUM(E10:E11)*4</f>
        <v>56.690032291368</v>
      </c>
    </row>
    <row r="33" ht="20.05" customHeight="1">
      <c r="A33" t="s" s="9">
        <v>29</v>
      </c>
      <c r="B33" s="18"/>
      <c r="C33" s="19"/>
      <c r="D33" s="19"/>
      <c r="E33" s="13">
        <f>'Data '!G24/E32</f>
        <v>18.3956677717185</v>
      </c>
    </row>
    <row r="34" ht="20.05" customHeight="1">
      <c r="A34" t="s" s="9">
        <v>24</v>
      </c>
      <c r="B34" s="18"/>
      <c r="C34" s="19"/>
      <c r="D34" s="19"/>
      <c r="E34" s="13">
        <f>E29/E32</f>
        <v>1.32928382312136</v>
      </c>
    </row>
    <row r="35" ht="20.05" customHeight="1">
      <c r="A35" t="s" s="9">
        <v>30</v>
      </c>
      <c r="B35" s="18"/>
      <c r="C35" s="19"/>
      <c r="D35" s="19"/>
      <c r="E35" s="21">
        <v>1.9</v>
      </c>
    </row>
    <row r="36" ht="20.05" customHeight="1">
      <c r="A36" t="s" s="9">
        <v>31</v>
      </c>
      <c r="B36" s="18"/>
      <c r="C36" s="19"/>
      <c r="D36" s="19"/>
      <c r="E36" s="16">
        <f>E32*E35</f>
        <v>107.711061353599</v>
      </c>
    </row>
    <row r="37" ht="20.05" customHeight="1">
      <c r="A37" t="s" s="9">
        <v>32</v>
      </c>
      <c r="B37" s="18"/>
      <c r="C37" s="19"/>
      <c r="D37" s="19"/>
      <c r="E37" s="13">
        <f>E29/E38</f>
        <v>0.738795518207283</v>
      </c>
    </row>
    <row r="38" ht="20.05" customHeight="1">
      <c r="A38" t="s" s="9">
        <v>33</v>
      </c>
      <c r="B38" s="18"/>
      <c r="C38" s="19"/>
      <c r="D38" s="19"/>
      <c r="E38" s="13">
        <f>'Data '!I33</f>
        <v>102</v>
      </c>
    </row>
    <row r="39" ht="20.05" customHeight="1">
      <c r="A39" t="s" s="9">
        <v>34</v>
      </c>
      <c r="B39" s="18"/>
      <c r="C39" s="19"/>
      <c r="D39" s="19"/>
      <c r="E39" s="13">
        <f>E36/E37</f>
        <v>145.792792050179</v>
      </c>
    </row>
    <row r="40" ht="20.05" customHeight="1">
      <c r="A40" t="s" s="9">
        <v>35</v>
      </c>
      <c r="B40" s="18"/>
      <c r="C40" s="19"/>
      <c r="D40" s="19"/>
      <c r="E40" s="15">
        <f>E39/E38-1</f>
        <v>0.429341098531167</v>
      </c>
    </row>
    <row r="41" ht="20.05" customHeight="1">
      <c r="A41" t="s" s="9">
        <v>36</v>
      </c>
      <c r="B41" s="18"/>
      <c r="C41" s="19"/>
      <c r="D41" s="19"/>
      <c r="E41" s="15">
        <f>'Data '!G4/90.2-1</f>
        <v>0.433192904656319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K3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4.6797" style="22" customWidth="1"/>
    <col min="2" max="11" width="9.875" style="22" customWidth="1"/>
    <col min="12" max="16384" width="16.3516" style="22" customWidth="1"/>
  </cols>
  <sheetData>
    <row r="1" ht="27.65" customHeight="1">
      <c r="A1" t="s" s="2">
        <v>37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25" customHeight="1">
      <c r="A2" t="s" s="23">
        <v>1</v>
      </c>
      <c r="B2" s="24">
        <v>2018</v>
      </c>
      <c r="C2" s="24">
        <v>2019</v>
      </c>
      <c r="D2" s="24">
        <v>2020</v>
      </c>
      <c r="E2" s="24">
        <v>2021</v>
      </c>
      <c r="F2" s="25"/>
      <c r="G2" s="4"/>
      <c r="H2" s="25"/>
      <c r="I2" s="24">
        <v>2022</v>
      </c>
      <c r="J2" s="25"/>
      <c r="K2" s="25"/>
    </row>
    <row r="3" ht="20.25" customHeight="1">
      <c r="A3" t="s" s="5">
        <v>4</v>
      </c>
      <c r="B3" s="26"/>
      <c r="C3" s="27">
        <f>C5/B5-1</f>
        <v>0.222623252956535</v>
      </c>
      <c r="D3" s="27">
        <f>D5/C5-1</f>
        <v>-0.0282944658297965</v>
      </c>
      <c r="E3" s="27">
        <f>E5/D5-1</f>
        <v>-0.0122044687131596</v>
      </c>
      <c r="F3" s="27">
        <f>F5/E5-1</f>
        <v>0.0729536701192836</v>
      </c>
      <c r="G3" s="27">
        <f>G5/F5-1</f>
        <v>0.50175414140006</v>
      </c>
      <c r="H3" s="27"/>
      <c r="I3" s="7"/>
      <c r="J3" s="27"/>
      <c r="K3" s="27"/>
    </row>
    <row r="4" ht="20.05" customHeight="1">
      <c r="A4" t="s" s="17">
        <v>5</v>
      </c>
      <c r="B4" s="12">
        <v>273.462</v>
      </c>
      <c r="C4" s="13">
        <v>334.341</v>
      </c>
      <c r="D4" s="13">
        <v>324.881</v>
      </c>
      <c r="E4" s="13">
        <v>80.229</v>
      </c>
      <c r="F4" s="13">
        <f>166.311-E4</f>
        <v>86.08199999999999</v>
      </c>
      <c r="G4" s="13">
        <f>295.585-F4-E4</f>
        <v>129.274</v>
      </c>
      <c r="H4" s="19"/>
      <c r="I4" s="19"/>
      <c r="J4" s="19"/>
      <c r="K4" s="13"/>
    </row>
    <row r="5" ht="20.05" customHeight="1">
      <c r="A5" t="s" s="17">
        <v>5</v>
      </c>
      <c r="B5" s="12">
        <f>B4/4</f>
        <v>68.3655</v>
      </c>
      <c r="C5" s="13">
        <f>C4/4</f>
        <v>83.58525</v>
      </c>
      <c r="D5" s="13">
        <f>D4/4</f>
        <v>81.22024999999999</v>
      </c>
      <c r="E5" s="13">
        <f>E4</f>
        <v>80.229</v>
      </c>
      <c r="F5" s="13">
        <f>F4</f>
        <v>86.08199999999999</v>
      </c>
      <c r="G5" s="13">
        <f>G4</f>
        <v>129.274</v>
      </c>
      <c r="H5" s="13"/>
      <c r="I5" s="13"/>
      <c r="J5" s="13"/>
      <c r="K5" s="13"/>
    </row>
    <row r="6" ht="20.05" customHeight="1">
      <c r="A6" t="s" s="17">
        <v>30</v>
      </c>
      <c r="B6" s="12"/>
      <c r="C6" s="13"/>
      <c r="D6" s="13"/>
      <c r="E6" s="13"/>
      <c r="F6" s="13"/>
      <c r="G6" s="13"/>
      <c r="H6" s="13">
        <f>'Model'!B5</f>
        <v>148.6651</v>
      </c>
      <c r="I6" s="13">
        <f>'Model'!C5</f>
        <v>144.205147</v>
      </c>
      <c r="J6" s="13">
        <f>'Model'!D5</f>
        <v>154.29950729</v>
      </c>
      <c r="K6" s="13">
        <f>'Model'!E5</f>
        <v>171.2724530919</v>
      </c>
    </row>
    <row r="7" ht="20.05" customHeight="1">
      <c r="A7" t="s" s="17">
        <v>38</v>
      </c>
      <c r="B7" s="12">
        <v>282.7</v>
      </c>
      <c r="C7" s="13">
        <v>328.733</v>
      </c>
      <c r="D7" s="13">
        <v>321.472</v>
      </c>
      <c r="E7" s="13">
        <v>76.065</v>
      </c>
      <c r="F7" s="13">
        <f>169.277-E7</f>
        <v>93.212</v>
      </c>
      <c r="G7" s="13">
        <f>291.583-F7-E7</f>
        <v>122.306</v>
      </c>
      <c r="H7" s="13"/>
      <c r="I7" s="13"/>
      <c r="J7" s="13"/>
      <c r="K7" s="13"/>
    </row>
    <row r="8" ht="20.05" customHeight="1">
      <c r="A8" t="s" s="17">
        <v>10</v>
      </c>
      <c r="B8" s="12">
        <v>44.295</v>
      </c>
      <c r="C8" s="13">
        <v>120.963</v>
      </c>
      <c r="D8" s="13">
        <v>194.793</v>
      </c>
      <c r="E8" s="13">
        <v>43.921</v>
      </c>
      <c r="F8" s="13">
        <f>71.382-E8</f>
        <v>27.461</v>
      </c>
      <c r="G8" s="13">
        <f>101.464-F8-E8</f>
        <v>30.082</v>
      </c>
      <c r="H8" s="13"/>
      <c r="I8" s="13"/>
      <c r="J8" s="13"/>
      <c r="K8" s="13"/>
    </row>
    <row r="9" ht="20.05" customHeight="1">
      <c r="A9" t="s" s="17">
        <v>11</v>
      </c>
      <c r="B9" s="12">
        <v>6.021</v>
      </c>
      <c r="C9" s="13">
        <v>-84.012</v>
      </c>
      <c r="D9" s="13">
        <v>-80.922</v>
      </c>
      <c r="E9" s="13">
        <v>-3.553</v>
      </c>
      <c r="F9" s="13">
        <f>-43.382-E9</f>
        <v>-39.829</v>
      </c>
      <c r="G9" s="13">
        <f>-111.793-F9-E9</f>
        <v>-68.411</v>
      </c>
      <c r="H9" s="13"/>
      <c r="I9" s="13"/>
      <c r="J9" s="13"/>
      <c r="K9" s="13"/>
    </row>
    <row r="10" ht="20.05" customHeight="1">
      <c r="A10" t="s" s="17">
        <v>39</v>
      </c>
      <c r="B10" s="12"/>
      <c r="C10" s="13"/>
      <c r="D10" s="13">
        <v>-37.357</v>
      </c>
      <c r="E10" s="13">
        <v>-12.455</v>
      </c>
      <c r="F10" s="13">
        <f>-18.9-E10</f>
        <v>-6.445</v>
      </c>
      <c r="G10" s="13">
        <f>-33.913-F10-E10</f>
        <v>-15.013</v>
      </c>
      <c r="H10" s="13"/>
      <c r="I10" s="13"/>
      <c r="J10" s="13"/>
      <c r="K10" s="13"/>
    </row>
    <row r="11" ht="20.05" customHeight="1">
      <c r="A11" t="s" s="17">
        <v>40</v>
      </c>
      <c r="B11" s="12">
        <f>-3.5-7.95</f>
        <v>-11.45</v>
      </c>
      <c r="C11" s="13">
        <v>2.604</v>
      </c>
      <c r="D11" s="13">
        <v>-7.334</v>
      </c>
      <c r="E11" s="13">
        <v>-0.059</v>
      </c>
      <c r="F11" s="13">
        <v>1.504</v>
      </c>
      <c r="G11" s="13">
        <f>13.245-F11-E11</f>
        <v>11.8</v>
      </c>
      <c r="H11" s="13"/>
      <c r="I11" s="13"/>
      <c r="J11" s="13"/>
      <c r="K11" s="13"/>
    </row>
    <row r="12" ht="20.05" customHeight="1">
      <c r="A12" t="s" s="17">
        <v>12</v>
      </c>
      <c r="B12" s="12">
        <f>-79.904-24.716+16.465</f>
        <v>-88.155</v>
      </c>
      <c r="C12" s="13">
        <f>-72.036-1.064</f>
        <v>-73.09999999999999</v>
      </c>
      <c r="D12" s="13">
        <f>-116.679-D10-D11</f>
        <v>-71.988</v>
      </c>
      <c r="E12" s="13">
        <f>-15.272-2.084</f>
        <v>-17.356</v>
      </c>
      <c r="F12" s="13">
        <f>6.777-15.272-4.223-E12</f>
        <v>4.638</v>
      </c>
      <c r="G12" s="13">
        <f>6.777-22.78-76.148-F12-E12</f>
        <v>-79.43300000000001</v>
      </c>
      <c r="H12" s="13"/>
      <c r="I12" s="13"/>
      <c r="J12" s="13"/>
      <c r="K12" s="13"/>
    </row>
    <row r="13" ht="20.05" customHeight="1">
      <c r="A13" t="s" s="17">
        <v>13</v>
      </c>
      <c r="B13" s="12"/>
      <c r="C13" s="13"/>
      <c r="D13" s="13"/>
      <c r="E13" s="13"/>
      <c r="F13" s="13"/>
      <c r="G13" s="13">
        <v>124.418</v>
      </c>
      <c r="H13" s="19"/>
      <c r="I13" s="13"/>
      <c r="J13" s="13"/>
      <c r="K13" s="13"/>
    </row>
    <row r="14" ht="20.05" customHeight="1">
      <c r="A14" t="s" s="17">
        <v>16</v>
      </c>
      <c r="B14" s="12">
        <f>107.854+2.233</f>
        <v>110.087</v>
      </c>
      <c r="C14" s="13">
        <f>B16</f>
        <v>60.798</v>
      </c>
      <c r="D14" s="13">
        <f>C16</f>
        <v>27.253</v>
      </c>
      <c r="E14" s="13">
        <f>D16</f>
        <v>24.445</v>
      </c>
      <c r="F14" s="13">
        <f>E16</f>
        <v>34.943</v>
      </c>
      <c r="G14" s="13">
        <f>F16</f>
        <v>22.272</v>
      </c>
      <c r="H14" s="13"/>
      <c r="I14" s="13"/>
      <c r="J14" s="13"/>
      <c r="K14" s="13"/>
    </row>
    <row r="15" ht="20.05" customHeight="1">
      <c r="A15" t="s" s="17">
        <v>17</v>
      </c>
      <c r="B15" s="12">
        <f>B8+B9+B10+B11+B12+B13</f>
        <v>-49.289</v>
      </c>
      <c r="C15" s="13">
        <f>C8+C9+C10+C11+C12+C13</f>
        <v>-33.545</v>
      </c>
      <c r="D15" s="13">
        <f>D8+D9+D10+D11+D12+D13</f>
        <v>-2.808</v>
      </c>
      <c r="E15" s="13">
        <f>E8+E9+E10+E11+E12+E13</f>
        <v>10.498</v>
      </c>
      <c r="F15" s="13">
        <f>F8+F9+F10+F11+F12+F13</f>
        <v>-12.671</v>
      </c>
      <c r="G15" s="13">
        <f>G8+G9+G10+G11+G12+G13</f>
        <v>3.443</v>
      </c>
      <c r="H15" s="19"/>
      <c r="I15" s="19"/>
      <c r="J15" s="19"/>
      <c r="K15" s="19"/>
    </row>
    <row r="16" ht="20.05" customHeight="1">
      <c r="A16" t="s" s="17">
        <v>18</v>
      </c>
      <c r="B16" s="12">
        <f>B14+B15</f>
        <v>60.798</v>
      </c>
      <c r="C16" s="13">
        <f>C14+C15</f>
        <v>27.253</v>
      </c>
      <c r="D16" s="13">
        <f>D14+D15</f>
        <v>24.445</v>
      </c>
      <c r="E16" s="13">
        <f>E14+E15</f>
        <v>34.943</v>
      </c>
      <c r="F16" s="13">
        <f>F14+F15</f>
        <v>22.272</v>
      </c>
      <c r="G16" s="13">
        <f>G14+G15</f>
        <v>25.715</v>
      </c>
      <c r="H16" s="19"/>
      <c r="I16" s="19"/>
      <c r="J16" s="19"/>
      <c r="K16" s="19"/>
    </row>
    <row r="17" ht="20.05" customHeight="1">
      <c r="A17" s="28"/>
      <c r="B17" s="12"/>
      <c r="C17" s="13"/>
      <c r="D17" s="13"/>
      <c r="E17" s="13"/>
      <c r="F17" s="13"/>
      <c r="G17" s="13"/>
      <c r="H17" s="19"/>
      <c r="I17" s="19"/>
      <c r="J17" s="19"/>
      <c r="K17" s="19"/>
    </row>
    <row r="18" ht="20.05" customHeight="1">
      <c r="A18" t="s" s="17">
        <v>8</v>
      </c>
      <c r="B18" s="12">
        <v>80.33499999999999</v>
      </c>
      <c r="C18" s="13">
        <v>57.924</v>
      </c>
      <c r="D18" s="13">
        <f>78.19+43.445</f>
        <v>121.635</v>
      </c>
      <c r="E18" s="13">
        <f>18.869+8.441</f>
        <v>27.31</v>
      </c>
      <c r="F18" s="13">
        <f>31.732+23.754-E18</f>
        <v>28.176</v>
      </c>
      <c r="G18" s="13">
        <f>61.74+44.072-F18-E18</f>
        <v>50.326</v>
      </c>
      <c r="H18" s="13"/>
      <c r="I18" s="13"/>
      <c r="J18" s="13"/>
      <c r="K18" s="13"/>
    </row>
    <row r="19" ht="20.05" customHeight="1">
      <c r="A19" t="s" s="17">
        <v>9</v>
      </c>
      <c r="B19" s="12">
        <v>-8.622</v>
      </c>
      <c r="C19" s="13">
        <v>24.527</v>
      </c>
      <c r="D19" s="13">
        <v>58.592</v>
      </c>
      <c r="E19" s="13">
        <v>5.656</v>
      </c>
      <c r="F19" s="13">
        <f>11.804-E19</f>
        <v>6.148</v>
      </c>
      <c r="G19" s="13">
        <f>17.963-F19-E19</f>
        <v>6.159</v>
      </c>
      <c r="H19" s="13"/>
      <c r="I19" s="13"/>
      <c r="J19" s="13"/>
      <c r="K19" s="13"/>
    </row>
    <row r="20" ht="20.05" customHeight="1">
      <c r="A20" t="s" s="17">
        <v>6</v>
      </c>
      <c r="B20" s="14">
        <f>(B18+B19-B4)/B4</f>
        <v>-0.73775881109624</v>
      </c>
      <c r="C20" s="15">
        <f>(C18+C19-C4)/C4</f>
        <v>-0.753392494489159</v>
      </c>
      <c r="D20" s="15">
        <f>(D18+D19-D4)/D4</f>
        <v>-0.445252261597323</v>
      </c>
      <c r="E20" s="15">
        <f>(E19+E18-E4)/E4</f>
        <v>-0.589101197821237</v>
      </c>
      <c r="F20" s="15">
        <f>(F19+F18-F4)/F4</f>
        <v>-0.601263911154481</v>
      </c>
      <c r="G20" s="15">
        <f>(G19+G18-G4)/G4</f>
        <v>-0.563059857357241</v>
      </c>
      <c r="H20" s="15">
        <f>'Model'!B6</f>
        <v>-0.601263911154481</v>
      </c>
      <c r="I20" s="15"/>
      <c r="J20" s="15"/>
      <c r="K20" s="15"/>
    </row>
    <row r="21" ht="20.05" customHeight="1">
      <c r="A21" s="28"/>
      <c r="B21" s="12"/>
      <c r="C21" s="13"/>
      <c r="D21" s="13"/>
      <c r="E21" s="13"/>
      <c r="F21" s="13"/>
      <c r="G21" s="13"/>
      <c r="H21" s="13"/>
      <c r="I21" s="13"/>
      <c r="J21" s="13"/>
      <c r="K21" s="13"/>
    </row>
    <row r="22" ht="20.05" customHeight="1">
      <c r="A22" t="s" s="17">
        <v>41</v>
      </c>
      <c r="B22" s="12">
        <v>731.4450000000001</v>
      </c>
      <c r="C22" s="13">
        <v>679.369</v>
      </c>
      <c r="D22" s="13">
        <v>844.6180000000001</v>
      </c>
      <c r="E22" s="13">
        <v>843.446</v>
      </c>
      <c r="F22" s="13">
        <v>919.385</v>
      </c>
      <c r="G22" s="13">
        <v>1068.566</v>
      </c>
      <c r="H22" s="13"/>
      <c r="I22" s="13"/>
      <c r="J22" s="13"/>
      <c r="K22" s="13"/>
    </row>
    <row r="23" ht="20.05" customHeight="1">
      <c r="A23" t="s" s="17">
        <v>21</v>
      </c>
      <c r="B23" s="12">
        <f>3.217+2.963</f>
        <v>6.18</v>
      </c>
      <c r="C23" s="13">
        <f>3.217+3.021</f>
        <v>6.238</v>
      </c>
      <c r="D23" s="13"/>
      <c r="E23" s="13"/>
      <c r="F23" s="13"/>
      <c r="G23" s="13"/>
      <c r="H23" s="16"/>
      <c r="I23" s="16"/>
      <c r="J23" s="16"/>
      <c r="K23" s="16"/>
    </row>
    <row r="24" ht="20.05" customHeight="1">
      <c r="A24" t="s" s="17">
        <v>20</v>
      </c>
      <c r="B24" s="12">
        <f>B22-B16</f>
        <v>670.647</v>
      </c>
      <c r="C24" s="13">
        <f>C22-C16</f>
        <v>652.116</v>
      </c>
      <c r="D24" s="13">
        <f>D22-D16</f>
        <v>820.173</v>
      </c>
      <c r="E24" s="13">
        <f>E22-E16</f>
        <v>808.503</v>
      </c>
      <c r="F24" s="13">
        <f>F22-F16</f>
        <v>897.1130000000001</v>
      </c>
      <c r="G24" s="13">
        <f>G22-G16</f>
        <v>1042.851</v>
      </c>
      <c r="H24" s="19"/>
      <c r="I24" s="19"/>
      <c r="J24" s="19"/>
      <c r="K24" s="19"/>
    </row>
    <row r="25" ht="20.05" customHeight="1">
      <c r="A25" t="s" s="17">
        <v>12</v>
      </c>
      <c r="B25" s="12">
        <v>645.659</v>
      </c>
      <c r="C25" s="13">
        <v>573.2670000000001</v>
      </c>
      <c r="D25" s="13">
        <v>632.443</v>
      </c>
      <c r="E25" s="13">
        <v>625.763</v>
      </c>
      <c r="F25" s="13">
        <v>695.705</v>
      </c>
      <c r="G25" s="13">
        <v>641.002</v>
      </c>
      <c r="H25" s="19"/>
      <c r="I25" s="19"/>
      <c r="J25" s="19"/>
      <c r="K25" s="19"/>
    </row>
    <row r="26" ht="20.05" customHeight="1">
      <c r="A26" t="s" s="17">
        <v>13</v>
      </c>
      <c r="B26" s="12">
        <v>85.786</v>
      </c>
      <c r="C26" s="13">
        <v>106.101</v>
      </c>
      <c r="D26" s="13">
        <v>212.174</v>
      </c>
      <c r="E26" s="13">
        <v>217.682</v>
      </c>
      <c r="F26" s="13">
        <v>223.68</v>
      </c>
      <c r="G26" s="13">
        <v>427.564</v>
      </c>
      <c r="H26" s="19"/>
      <c r="I26" s="19"/>
      <c r="J26" s="19"/>
      <c r="K26" s="19"/>
    </row>
    <row r="27" ht="20.05" customHeight="1">
      <c r="A27" t="s" s="17">
        <v>22</v>
      </c>
      <c r="B27" s="12">
        <f>B25+B26-B16-B24</f>
        <v>0</v>
      </c>
      <c r="C27" s="13">
        <f>C25+C26-C16-C24</f>
        <v>-0.001</v>
      </c>
      <c r="D27" s="13">
        <f>D25+D26-D16-D24</f>
        <v>-0.001</v>
      </c>
      <c r="E27" s="13">
        <f>E25+E26-E16-E24</f>
        <v>-0.001</v>
      </c>
      <c r="F27" s="13">
        <f>F25+F26-F16-F24</f>
        <v>0</v>
      </c>
      <c r="G27" s="13">
        <f>G25+G26-G16-G24</f>
        <v>0</v>
      </c>
      <c r="H27" s="19"/>
      <c r="I27" s="19"/>
      <c r="J27" s="19"/>
      <c r="K27" s="19"/>
    </row>
    <row r="28" ht="20.05" customHeight="1">
      <c r="A28" t="s" s="17">
        <v>23</v>
      </c>
      <c r="B28" s="12">
        <f>B16-B25</f>
        <v>-584.861</v>
      </c>
      <c r="C28" s="13">
        <f>C16-C25</f>
        <v>-546.014</v>
      </c>
      <c r="D28" s="13">
        <f>D16-D25</f>
        <v>-607.998</v>
      </c>
      <c r="E28" s="13">
        <f>E16-E25</f>
        <v>-590.8200000000001</v>
      </c>
      <c r="F28" s="13">
        <f>F16-F25</f>
        <v>-673.433</v>
      </c>
      <c r="G28" s="13">
        <f>G16-G25</f>
        <v>-615.287</v>
      </c>
      <c r="H28" s="19"/>
      <c r="I28" s="19"/>
      <c r="J28" s="19"/>
      <c r="K28" s="19"/>
    </row>
    <row r="29" ht="20.05" customHeight="1">
      <c r="A29" t="s" s="17">
        <v>30</v>
      </c>
      <c r="B29" s="12"/>
      <c r="C29" s="13"/>
      <c r="D29" s="13"/>
      <c r="E29" s="13"/>
      <c r="F29" s="13"/>
      <c r="G29" s="13">
        <f>G28</f>
        <v>-615.287</v>
      </c>
      <c r="H29" s="13">
        <f>'Model'!E26</f>
        <v>-585.171773051552</v>
      </c>
      <c r="I29" s="19"/>
      <c r="J29" s="19"/>
      <c r="K29" s="19"/>
    </row>
    <row r="30" ht="20.05" customHeight="1">
      <c r="A30" t="s" s="17">
        <v>42</v>
      </c>
      <c r="B30" s="14">
        <f>(B8-B7)/B7</f>
        <v>-0.843314467633534</v>
      </c>
      <c r="C30" s="15">
        <f>(C8-C7)/C7</f>
        <v>-0.632032683058896</v>
      </c>
      <c r="D30" s="15">
        <f>(D8-D7)/D7</f>
        <v>-0.394059202667728</v>
      </c>
      <c r="E30" s="15">
        <f>(E8-E7)/E7</f>
        <v>-0.422585946230198</v>
      </c>
      <c r="F30" s="15">
        <f>(F8-F7)/F7</f>
        <v>-0.705392009612496</v>
      </c>
      <c r="G30" s="15">
        <f>(G8-G7)/G7</f>
        <v>-0.7540431377037921</v>
      </c>
      <c r="H30" s="11"/>
      <c r="I30" s="19"/>
      <c r="J30" s="19"/>
      <c r="K30" s="19"/>
    </row>
    <row r="31" ht="20.05" customHeight="1">
      <c r="A31" t="s" s="17">
        <v>3</v>
      </c>
      <c r="B31" s="12">
        <f>SUM(B8:B10)/4</f>
        <v>12.579</v>
      </c>
      <c r="C31" s="13">
        <f>SUM(C8:C10)/4</f>
        <v>9.23775</v>
      </c>
      <c r="D31" s="13">
        <f>SUM(D8:D10)/4</f>
        <v>19.1285</v>
      </c>
      <c r="E31" s="13">
        <f>SUM(E8:E10)/2</f>
        <v>13.9565</v>
      </c>
      <c r="F31" s="13">
        <f>SUM(F8:F10)/2</f>
        <v>-9.406499999999999</v>
      </c>
      <c r="G31" s="13">
        <f>SUM(G8:G10)/2</f>
        <v>-26.671</v>
      </c>
      <c r="H31" s="13">
        <f>SUM('Model'!E10:E11)</f>
        <v>14.172508072842</v>
      </c>
      <c r="I31" s="13"/>
      <c r="J31" s="13"/>
      <c r="K31" s="13"/>
    </row>
    <row r="32" ht="20.05" customHeight="1">
      <c r="A32" t="s" s="17">
        <v>25</v>
      </c>
      <c r="B32" s="12">
        <f>-'Capital'!G16-(B12+B13)</f>
        <v>-888.745106496270</v>
      </c>
      <c r="C32" s="13">
        <f>B32-(C12+C13)</f>
        <v>-815.645106496270</v>
      </c>
      <c r="D32" s="13">
        <f>C32-(D12+D13)</f>
        <v>-743.657106496270</v>
      </c>
      <c r="E32" s="13">
        <f>D32-(E12+E13)</f>
        <v>-726.301106496270</v>
      </c>
      <c r="F32" s="13">
        <f>E32-(F12+F13)</f>
        <v>-730.939106496270</v>
      </c>
      <c r="G32" s="13">
        <f>F32-(G12+G13)</f>
        <v>-775.924106496270</v>
      </c>
      <c r="H32" s="13">
        <f>'Model'!E28</f>
        <v>-718.916920069650</v>
      </c>
      <c r="I32" s="13"/>
      <c r="J32" s="13"/>
      <c r="K32" s="13"/>
    </row>
    <row r="33" ht="20.05" customHeight="1">
      <c r="A33" t="s" s="17">
        <v>43</v>
      </c>
      <c r="B33" s="12"/>
      <c r="C33" s="13"/>
      <c r="D33" s="13">
        <v>129</v>
      </c>
      <c r="E33" s="13">
        <v>105</v>
      </c>
      <c r="F33" s="13">
        <v>118</v>
      </c>
      <c r="G33" s="13">
        <v>128</v>
      </c>
      <c r="H33" s="13">
        <v>102</v>
      </c>
      <c r="I33" s="13">
        <v>102</v>
      </c>
      <c r="J33" s="13"/>
      <c r="K33" s="13"/>
    </row>
    <row r="34" ht="20.05" customHeight="1">
      <c r="A34" t="s" s="17">
        <v>34</v>
      </c>
      <c r="B34" s="12"/>
      <c r="C34" s="13"/>
      <c r="D34" s="13"/>
      <c r="E34" s="13"/>
      <c r="F34" s="13"/>
      <c r="G34" s="13"/>
      <c r="H34" s="13"/>
      <c r="I34" s="13">
        <f>I33</f>
        <v>102</v>
      </c>
      <c r="J34" s="13">
        <f>'Model'!E39</f>
        <v>145.792792050179</v>
      </c>
      <c r="K34" s="13"/>
    </row>
  </sheetData>
  <mergeCells count="1">
    <mergeCell ref="A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20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0.0781" style="29" customWidth="1"/>
    <col min="2" max="8" width="11.3516" style="29" customWidth="1"/>
    <col min="9" max="16384" width="16.3516" style="29" customWidth="1"/>
  </cols>
  <sheetData>
    <row r="1" ht="27.65" customHeight="1">
      <c r="A1" t="s" s="2">
        <v>44</v>
      </c>
      <c r="B1" s="2"/>
      <c r="C1" s="2"/>
      <c r="D1" s="2"/>
      <c r="E1" s="2"/>
      <c r="F1" s="2"/>
      <c r="G1" s="2"/>
      <c r="H1" s="2"/>
    </row>
    <row r="2" ht="20.25" customHeight="1">
      <c r="A2" t="s" s="30">
        <v>45</v>
      </c>
      <c r="B2" t="s" s="30">
        <v>12</v>
      </c>
      <c r="C2" t="s" s="30">
        <v>13</v>
      </c>
      <c r="D2" t="s" s="30">
        <v>46</v>
      </c>
      <c r="E2" t="s" s="30">
        <v>12</v>
      </c>
      <c r="F2" t="s" s="30">
        <v>13</v>
      </c>
      <c r="G2" t="s" s="30">
        <v>46</v>
      </c>
      <c r="H2" s="31"/>
    </row>
    <row r="3" ht="20.25" customHeight="1">
      <c r="A3" s="32">
        <v>2004</v>
      </c>
      <c r="B3" s="26">
        <v>70.0425985090522</v>
      </c>
      <c r="C3" s="33">
        <v>46.8343982960596</v>
      </c>
      <c r="D3" s="33">
        <f>B3+C3</f>
        <v>116.876996805112</v>
      </c>
      <c r="E3" s="33">
        <f>B3</f>
        <v>70.0425985090522</v>
      </c>
      <c r="F3" s="33">
        <f>C3</f>
        <v>46.8343982960596</v>
      </c>
      <c r="G3" s="33">
        <f>D3</f>
        <v>116.876996805112</v>
      </c>
      <c r="H3" s="33"/>
    </row>
    <row r="4" ht="20.05" customHeight="1">
      <c r="A4" s="34">
        <v>2005</v>
      </c>
      <c r="B4" s="12">
        <v>187.774227902023</v>
      </c>
      <c r="C4" s="13">
        <v>0</v>
      </c>
      <c r="D4" s="13">
        <f>B4+C4</f>
        <v>187.774227902023</v>
      </c>
      <c r="E4" s="13">
        <f>B4+E3</f>
        <v>257.816826411075</v>
      </c>
      <c r="F4" s="13">
        <f>C4+F3</f>
        <v>46.8343982960596</v>
      </c>
      <c r="G4" s="13">
        <f>D4+G3</f>
        <v>304.651224707135</v>
      </c>
      <c r="H4" s="13"/>
    </row>
    <row r="5" ht="20.05" customHeight="1">
      <c r="A5" s="34">
        <v>2006</v>
      </c>
      <c r="B5" s="12">
        <v>188.572949946752</v>
      </c>
      <c r="C5" s="13">
        <v>392.673056443024</v>
      </c>
      <c r="D5" s="13">
        <f>B5+C5</f>
        <v>581.246006389776</v>
      </c>
      <c r="E5" s="13">
        <f>B5+E4</f>
        <v>446.389776357827</v>
      </c>
      <c r="F5" s="13">
        <f>C5+F4</f>
        <v>439.507454739084</v>
      </c>
      <c r="G5" s="13">
        <f>D5+G4</f>
        <v>885.897231096911</v>
      </c>
      <c r="H5" s="13">
        <v>139</v>
      </c>
    </row>
    <row r="6" ht="20.05" customHeight="1">
      <c r="A6" s="34">
        <v>2007</v>
      </c>
      <c r="B6" s="12">
        <v>-173.727369542066</v>
      </c>
      <c r="C6" s="13">
        <v>134.504792332268</v>
      </c>
      <c r="D6" s="13">
        <f>B6+C6</f>
        <v>-39.222577209798</v>
      </c>
      <c r="E6" s="13">
        <f>B6+E5</f>
        <v>272.662406815761</v>
      </c>
      <c r="F6" s="13">
        <f>C6+F5</f>
        <v>574.012247071352</v>
      </c>
      <c r="G6" s="13">
        <f>D6+G5</f>
        <v>846.674653887113</v>
      </c>
      <c r="H6" s="13"/>
    </row>
    <row r="7" ht="20.05" customHeight="1">
      <c r="A7" s="34">
        <v>2008</v>
      </c>
      <c r="B7" s="12">
        <v>176.038338658147</v>
      </c>
      <c r="C7" s="13">
        <v>0</v>
      </c>
      <c r="D7" s="13">
        <f>B7+C7</f>
        <v>176.038338658147</v>
      </c>
      <c r="E7" s="13">
        <f>B7+E6</f>
        <v>448.700745473908</v>
      </c>
      <c r="F7" s="13">
        <f>C7+F6</f>
        <v>574.012247071352</v>
      </c>
      <c r="G7" s="13">
        <f>D7+G6</f>
        <v>1022.712992545260</v>
      </c>
      <c r="H7" s="13"/>
    </row>
    <row r="8" ht="20.05" customHeight="1">
      <c r="A8" s="34">
        <v>2009</v>
      </c>
      <c r="B8" s="12">
        <v>33.2268370607029</v>
      </c>
      <c r="C8" s="13">
        <v>0</v>
      </c>
      <c r="D8" s="13">
        <f>B8+C8</f>
        <v>33.2268370607029</v>
      </c>
      <c r="E8" s="13">
        <f>B8+E7</f>
        <v>481.927582534611</v>
      </c>
      <c r="F8" s="13">
        <f>C8+F7</f>
        <v>574.012247071352</v>
      </c>
      <c r="G8" s="13">
        <f>D8+G7</f>
        <v>1055.939829605960</v>
      </c>
      <c r="H8" s="13"/>
    </row>
    <row r="9" ht="20.05" customHeight="1">
      <c r="A9" s="34">
        <v>2010</v>
      </c>
      <c r="B9" s="12">
        <v>-257.124600638978</v>
      </c>
      <c r="C9" s="13">
        <v>490.649627263046</v>
      </c>
      <c r="D9" s="13">
        <f>B9+C9</f>
        <v>233.525026624068</v>
      </c>
      <c r="E9" s="13">
        <f>B9+E8</f>
        <v>224.802981895633</v>
      </c>
      <c r="F9" s="13">
        <f>C9+F8</f>
        <v>1064.6618743344</v>
      </c>
      <c r="G9" s="13">
        <f>D9+G8</f>
        <v>1289.464856230030</v>
      </c>
      <c r="H9" s="13">
        <v>218</v>
      </c>
    </row>
    <row r="10" ht="20.05" customHeight="1">
      <c r="A10" s="34">
        <v>2011</v>
      </c>
      <c r="B10" s="12">
        <v>327.135250266241</v>
      </c>
      <c r="C10" s="13">
        <v>0</v>
      </c>
      <c r="D10" s="13">
        <f>B10+C10</f>
        <v>327.135250266241</v>
      </c>
      <c r="E10" s="13">
        <f>B10+E9</f>
        <v>551.938232161874</v>
      </c>
      <c r="F10" s="13">
        <f>C10+F9</f>
        <v>1064.6618743344</v>
      </c>
      <c r="G10" s="13">
        <f>D10+G9</f>
        <v>1616.600106496270</v>
      </c>
      <c r="H10" s="13">
        <v>248</v>
      </c>
    </row>
    <row r="11" ht="20.05" customHeight="1">
      <c r="A11" s="34">
        <v>2012</v>
      </c>
      <c r="B11" s="12">
        <f>25.5-4.8</f>
        <v>20.7</v>
      </c>
      <c r="C11" s="13"/>
      <c r="D11" s="13">
        <f>B11+C11</f>
        <v>20.7</v>
      </c>
      <c r="E11" s="13">
        <f>B11+E10</f>
        <v>572.638232161874</v>
      </c>
      <c r="F11" s="13">
        <f>C11+F10</f>
        <v>1064.6618743344</v>
      </c>
      <c r="G11" s="13">
        <f>D11+G10</f>
        <v>1637.300106496270</v>
      </c>
      <c r="H11" s="13"/>
    </row>
    <row r="12" ht="20.05" customHeight="1">
      <c r="A12" s="34">
        <v>2013</v>
      </c>
      <c r="B12" s="12">
        <f>-215.5-12.1-C12</f>
        <v>-269.3</v>
      </c>
      <c r="C12" s="13">
        <v>41.7</v>
      </c>
      <c r="D12" s="13">
        <f>B12+C12</f>
        <v>-227.6</v>
      </c>
      <c r="E12" s="13">
        <f>B12+E11</f>
        <v>303.338232161874</v>
      </c>
      <c r="F12" s="13">
        <f>C12+F11</f>
        <v>1106.3618743344</v>
      </c>
      <c r="G12" s="13">
        <f>D12+G11</f>
        <v>1409.700106496270</v>
      </c>
      <c r="H12" s="13">
        <v>276</v>
      </c>
    </row>
    <row r="13" ht="20.05" customHeight="1">
      <c r="A13" s="34">
        <v>2014</v>
      </c>
      <c r="B13" s="12">
        <f>-246.1+13.9</f>
        <v>-232.2</v>
      </c>
      <c r="C13" s="13"/>
      <c r="D13" s="13">
        <f>B13+C13</f>
        <v>-232.2</v>
      </c>
      <c r="E13" s="13">
        <f>B13+E12</f>
        <v>71.138232161874</v>
      </c>
      <c r="F13" s="13">
        <f>C13+F12</f>
        <v>1106.3618743344</v>
      </c>
      <c r="G13" s="13">
        <f>D13+G12</f>
        <v>1177.500106496270</v>
      </c>
      <c r="H13" s="13"/>
    </row>
    <row r="14" ht="20.05" customHeight="1">
      <c r="A14" s="34">
        <v>2015</v>
      </c>
      <c r="B14" s="12">
        <f>-50.1-36.7-C14</f>
        <v>-120.4</v>
      </c>
      <c r="C14" s="13">
        <v>33.6</v>
      </c>
      <c r="D14" s="13">
        <f>B14+C14</f>
        <v>-86.8</v>
      </c>
      <c r="E14" s="13">
        <f>B14+E13</f>
        <v>-49.261767838126</v>
      </c>
      <c r="F14" s="13">
        <f>C14+F13</f>
        <v>1139.9618743344</v>
      </c>
      <c r="G14" s="13">
        <f>D14+G13</f>
        <v>1090.700106496270</v>
      </c>
      <c r="H14" s="13">
        <v>304</v>
      </c>
    </row>
    <row r="15" ht="20.05" customHeight="1">
      <c r="A15" s="34">
        <v>2016</v>
      </c>
      <c r="B15" s="12">
        <f>-78.2-1.6</f>
        <v>-79.8</v>
      </c>
      <c r="C15" s="13"/>
      <c r="D15" s="13">
        <f>B15+C15</f>
        <v>-79.8</v>
      </c>
      <c r="E15" s="13">
        <f>B15+E14</f>
        <v>-129.061767838126</v>
      </c>
      <c r="F15" s="13">
        <f>C15+F14</f>
        <v>1139.9618743344</v>
      </c>
      <c r="G15" s="13">
        <f>D15+G14</f>
        <v>1010.900106496270</v>
      </c>
      <c r="H15" s="13"/>
    </row>
    <row r="16" ht="20.05" customHeight="1">
      <c r="A16" s="34">
        <v>2017</v>
      </c>
      <c r="B16" s="12">
        <f>-34.6+0.6</f>
        <v>-34</v>
      </c>
      <c r="C16" s="13"/>
      <c r="D16" s="13">
        <f>B16+C16</f>
        <v>-34</v>
      </c>
      <c r="E16" s="13">
        <f>B16+E15</f>
        <v>-163.061767838126</v>
      </c>
      <c r="F16" s="13">
        <f>C16+F15</f>
        <v>1139.9618743344</v>
      </c>
      <c r="G16" s="13">
        <f>D16+G15</f>
        <v>976.900106496270</v>
      </c>
      <c r="H16" s="13">
        <v>267</v>
      </c>
    </row>
    <row r="17" ht="20.05" customHeight="1">
      <c r="A17" s="34">
        <v>2018</v>
      </c>
      <c r="B17" s="12">
        <f>'Data '!B12</f>
        <v>-88.155</v>
      </c>
      <c r="C17" s="13"/>
      <c r="D17" s="13">
        <f>B17+C17</f>
        <v>-88.155</v>
      </c>
      <c r="E17" s="13">
        <f>B17+E16</f>
        <v>-251.216767838126</v>
      </c>
      <c r="F17" s="13">
        <f>C17+F16</f>
        <v>1139.9618743344</v>
      </c>
      <c r="G17" s="13">
        <f>D17+G16</f>
        <v>888.745106496270</v>
      </c>
      <c r="H17" s="13"/>
    </row>
    <row r="18" ht="20.05" customHeight="1">
      <c r="A18" s="34">
        <v>2019</v>
      </c>
      <c r="B18" s="12">
        <f>'Data '!C12</f>
        <v>-73.09999999999999</v>
      </c>
      <c r="C18" s="13"/>
      <c r="D18" s="13">
        <f>B18+C18</f>
        <v>-73.09999999999999</v>
      </c>
      <c r="E18" s="13">
        <f>B18+E17</f>
        <v>-324.316767838126</v>
      </c>
      <c r="F18" s="13">
        <f>C18+F17</f>
        <v>1139.9618743344</v>
      </c>
      <c r="G18" s="13">
        <f>D18+G17</f>
        <v>815.645106496270</v>
      </c>
      <c r="H18" s="13"/>
    </row>
    <row r="19" ht="20.05" customHeight="1">
      <c r="A19" s="34">
        <v>2020</v>
      </c>
      <c r="B19" s="12">
        <f>'Data '!D12</f>
        <v>-71.988</v>
      </c>
      <c r="C19" s="13"/>
      <c r="D19" s="13">
        <f>B19+C19</f>
        <v>-71.988</v>
      </c>
      <c r="E19" s="13">
        <f>B19+E18</f>
        <v>-396.304767838126</v>
      </c>
      <c r="F19" s="13">
        <f>C19+F18</f>
        <v>1139.9618743344</v>
      </c>
      <c r="G19" s="13">
        <f>D19+G18</f>
        <v>743.657106496270</v>
      </c>
      <c r="H19" s="13"/>
    </row>
    <row r="20" ht="20.05" customHeight="1">
      <c r="A20" s="34">
        <v>2021</v>
      </c>
      <c r="B20" s="12">
        <f>SUM('Data '!E12:G12)</f>
        <v>-92.151</v>
      </c>
      <c r="C20" s="13">
        <f>'Data '!G13</f>
        <v>124.418</v>
      </c>
      <c r="D20" s="13">
        <f>B20+C20</f>
        <v>32.267</v>
      </c>
      <c r="E20" s="13">
        <f>B20+E19</f>
        <v>-488.455767838126</v>
      </c>
      <c r="F20" s="13">
        <f>C20+F19</f>
        <v>1264.3798743344</v>
      </c>
      <c r="G20" s="13">
        <f>D20+G19</f>
        <v>775.924106496270</v>
      </c>
      <c r="H20" s="13"/>
    </row>
  </sheetData>
  <mergeCells count="1">
    <mergeCell ref="A1:H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