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<sst xmlns="http://schemas.openxmlformats.org/spreadsheetml/2006/main" uniqueCount="60">
  <si>
    <t>Financial model</t>
  </si>
  <si>
    <t>Rpbn</t>
  </si>
  <si>
    <t>4Q 2021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</si>
  <si>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</si>
  <si>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</si>
  <si>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</si>
  <si>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</si>
  <si>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</si>
  <si>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</si>
  <si>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</si>
  <si>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</si>
  <si>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</si>
  <si>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</si>
  <si>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</si>
  <si>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</si>
  <si>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</si>
  <si>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</si>
  <si>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</si>
  <si>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</si>
  <si>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</si>
  <si>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</si>
  <si>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 xml:space="preserve">Others </t>
  </si>
  <si>
    <t>Balance sheet</t>
  </si>
  <si>
    <t>Other assets</t>
  </si>
  <si>
    <t xml:space="preserve">Depreciation </t>
  </si>
  <si>
    <t>Net other assets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</si>
  <si>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</si>
  <si>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</si>
  <si>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</si>
  <si>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</si>
  <si>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</si>
  <si>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P/sales</t>
  </si>
  <si>
    <t>P/assets</t>
  </si>
  <si>
    <t xml:space="preserve">Yield 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</si>
  <si>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</si>
  <si>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</si>
  <si>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</si>
  <si>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</si>
  <si>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</si>
  <si>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</si>
  <si>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</si>
  <si>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</si>
  <si>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</si>
  <si>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</si>
  <si>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>Others</t>
  </si>
  <si>
    <t>Profit</t>
  </si>
  <si>
    <t xml:space="preserve">Sales growth </t>
  </si>
  <si>
    <t>Cashflow costs</t>
  </si>
  <si>
    <t>Receipts</t>
  </si>
  <si>
    <t>Interest</t>
  </si>
  <si>
    <t>Capex</t>
  </si>
  <si>
    <t xml:space="preserve">Free cashflow </t>
  </si>
  <si>
    <t>Cash</t>
  </si>
  <si>
    <t>Assets</t>
  </si>
  <si>
    <t>Lease</t>
  </si>
  <si>
    <t>Check</t>
  </si>
  <si>
    <t xml:space="preserve">Net cash </t>
  </si>
  <si>
    <t>Share price</t>
  </si>
  <si>
    <t>EMTK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</si>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</sst>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"/>
    <numFmt numFmtId="60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horizontal="left"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3" borderId="7" applyNumberFormat="0" applyFont="1" applyFill="0" applyBorder="1" applyAlignment="1" applyProtection="0">
      <alignment horizontal="right" vertical="top" wrapText="1"/>
    </xf>
    <xf numFmtId="3" fontId="3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839711</xdr:colOff>
      <xdr:row>1</xdr:row>
      <xdr:rowOff>253999</xdr:rowOff>
    </xdr:from>
    <xdr:to>
      <xdr:col>13</xdr:col>
      <xdr:colOff>1244322</xdr:colOff>
      <xdr:row>48</xdr:row>
      <xdr:rowOff>148572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87811" y="406399"/>
          <a:ext cx="9116812" cy="119640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8.54688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AVERAGE('Sales'!H22:H25)</f>
        <v>0.0007950679474253</v>
      </c>
      <c r="D4" s="8"/>
      <c r="E4" s="8"/>
      <c r="F4" s="9">
        <f>AVERAGE(C5:F5)</f>
        <v>0.0425</v>
      </c>
    </row>
    <row r="5" ht="20.05" customHeight="1">
      <c r="B5" t="s" s="10">
        <v>4</v>
      </c>
      <c r="C5" s="11">
        <v>0.1</v>
      </c>
      <c r="D5" s="12">
        <v>-0.05</v>
      </c>
      <c r="E5" s="12">
        <v>0.05</v>
      </c>
      <c r="F5" s="12">
        <v>0.07000000000000001</v>
      </c>
    </row>
    <row r="6" ht="20.05" customHeight="1">
      <c r="B6" t="s" s="10">
        <v>5</v>
      </c>
      <c r="C6" s="13">
        <f>'Sales'!C25*(1+C5)</f>
        <v>3463.35</v>
      </c>
      <c r="D6" s="14">
        <f>C6*(1+D5)</f>
        <v>3290.1825</v>
      </c>
      <c r="E6" s="14">
        <f>D6*(1+E5)</f>
        <v>3454.691625</v>
      </c>
      <c r="F6" s="14">
        <f>E6*(1+F5)</f>
        <v>3696.52003875</v>
      </c>
    </row>
    <row r="7" ht="20.05" customHeight="1">
      <c r="B7" t="s" s="10">
        <v>6</v>
      </c>
      <c r="C7" s="11">
        <f>AVERAGE('Sales'!I25)</f>
        <v>-0.819501349849135</v>
      </c>
      <c r="D7" s="12">
        <f>C7</f>
        <v>-0.819501349849135</v>
      </c>
      <c r="E7" s="12">
        <f>D7</f>
        <v>-0.819501349849135</v>
      </c>
      <c r="F7" s="12">
        <f>E7</f>
        <v>-0.819501349849135</v>
      </c>
    </row>
    <row r="8" ht="20.05" customHeight="1">
      <c r="B8" t="s" s="10">
        <v>7</v>
      </c>
      <c r="C8" s="13">
        <f>C6*C7</f>
        <v>-2838.22</v>
      </c>
      <c r="D8" s="14">
        <f>D6*D7</f>
        <v>-2696.309</v>
      </c>
      <c r="E8" s="14">
        <f>E6*E7</f>
        <v>-2831.12445</v>
      </c>
      <c r="F8" s="14">
        <f>F6*F7</f>
        <v>-3029.3031615</v>
      </c>
    </row>
    <row r="9" ht="20.05" customHeight="1">
      <c r="B9" t="s" s="10">
        <v>8</v>
      </c>
      <c r="C9" s="13">
        <f>C6+C8</f>
        <v>625.13</v>
      </c>
      <c r="D9" s="14">
        <f>D6+D8</f>
        <v>593.8735</v>
      </c>
      <c r="E9" s="14">
        <f>E6+E8</f>
        <v>623.567175</v>
      </c>
      <c r="F9" s="14">
        <f>F6+F8</f>
        <v>667.21687725</v>
      </c>
    </row>
    <row r="10" ht="20.05" customHeight="1">
      <c r="B10" t="s" s="10">
        <v>9</v>
      </c>
      <c r="C10" s="13">
        <f>AVERAGE('Cashflow '!G21)</f>
        <v>-228.7</v>
      </c>
      <c r="D10" s="14">
        <f>C10</f>
        <v>-228.7</v>
      </c>
      <c r="E10" s="14">
        <f>D10</f>
        <v>-228.7</v>
      </c>
      <c r="F10" s="14">
        <f>E10</f>
        <v>-228.7</v>
      </c>
    </row>
    <row r="11" ht="20.05" customHeight="1">
      <c r="B11" t="s" s="10">
        <v>10</v>
      </c>
      <c r="C11" s="13">
        <f>'Cashflow '!H26</f>
        <v>-2.4</v>
      </c>
      <c r="D11" s="14">
        <f>C11</f>
        <v>-2.4</v>
      </c>
      <c r="E11" s="14">
        <f>D11</f>
        <v>-2.4</v>
      </c>
      <c r="F11" s="14">
        <f>E11</f>
        <v>-2.4</v>
      </c>
    </row>
    <row r="12" ht="20.05" customHeight="1">
      <c r="B12" t="s" s="10">
        <v>11</v>
      </c>
      <c r="C12" s="13">
        <f>C13+C14+C16</f>
        <v>-324.909</v>
      </c>
      <c r="D12" s="14">
        <f>D13+D14+D16</f>
        <v>-308.07705</v>
      </c>
      <c r="E12" s="14">
        <f>E13+E14+E16</f>
        <v>-309.9029025</v>
      </c>
      <c r="F12" s="14">
        <f>F13+F14+F16</f>
        <v>-316.269675675</v>
      </c>
    </row>
    <row r="13" ht="20.05" customHeight="1">
      <c r="B13" t="s" s="10">
        <v>12</v>
      </c>
      <c r="C13" s="13">
        <f>-'Balance sheet'!H26/20</f>
        <v>-146.7</v>
      </c>
      <c r="D13" s="14">
        <f>-C28/20</f>
        <v>-139.245</v>
      </c>
      <c r="E13" s="14">
        <f>-D28/20</f>
        <v>-132.16275</v>
      </c>
      <c r="F13" s="14">
        <f>-E28/20</f>
        <v>-125.4346125</v>
      </c>
    </row>
    <row r="14" ht="20.05" customHeight="1">
      <c r="B14" t="s" s="10">
        <v>13</v>
      </c>
      <c r="C14" s="13">
        <f>IF(C23&gt;0,-C23*0.3,0)</f>
        <v>-178.209</v>
      </c>
      <c r="D14" s="14">
        <f>IF(D23&gt;0,-D23*0.3,0)</f>
        <v>-168.83205</v>
      </c>
      <c r="E14" s="14">
        <f>IF(E23&gt;0,-E23*0.3,0)</f>
        <v>-177.7401525</v>
      </c>
      <c r="F14" s="14">
        <f>IF(F23&gt;0,-F23*0.3,0)</f>
        <v>-190.835063175</v>
      </c>
    </row>
    <row r="15" ht="20.05" customHeight="1">
      <c r="B15" t="s" s="10">
        <v>14</v>
      </c>
      <c r="C15" s="13">
        <f>C9+C10+C11+C13+C14</f>
        <v>69.121</v>
      </c>
      <c r="D15" s="14">
        <f>D9+D10+D11+D13+D14</f>
        <v>54.69645</v>
      </c>
      <c r="E15" s="14">
        <f>E9+E10+E11+E13+E14</f>
        <v>82.5642725</v>
      </c>
      <c r="F15" s="14">
        <f>F9+F10+F11+F13+F14</f>
        <v>119.847201575</v>
      </c>
    </row>
    <row r="16" ht="20.05" customHeight="1">
      <c r="B16" t="s" s="10">
        <v>15</v>
      </c>
      <c r="C16" s="13">
        <f>-MIN(0,C15)</f>
        <v>0</v>
      </c>
      <c r="D16" s="14">
        <f>-MIN(C29,D15)</f>
        <v>0</v>
      </c>
      <c r="E16" s="14">
        <f>-MIN(D29,E15)</f>
        <v>0</v>
      </c>
      <c r="F16" s="14">
        <f>-MIN(E29,F15)</f>
        <v>0</v>
      </c>
    </row>
    <row r="17" ht="20.05" customHeight="1">
      <c r="B17" t="s" s="10">
        <v>16</v>
      </c>
      <c r="C17" s="13">
        <f>'Balance sheet'!C26</f>
        <v>5885</v>
      </c>
      <c r="D17" s="14">
        <f>C19</f>
        <v>5954.121</v>
      </c>
      <c r="E17" s="14">
        <f>D19</f>
        <v>6008.81745</v>
      </c>
      <c r="F17" s="14">
        <f>E19</f>
        <v>6091.3817225</v>
      </c>
    </row>
    <row r="18" ht="20.05" customHeight="1">
      <c r="B18" t="s" s="10">
        <v>17</v>
      </c>
      <c r="C18" s="13">
        <f>C9+C10+C11+C12</f>
        <v>69.121</v>
      </c>
      <c r="D18" s="14">
        <f>D9+D10+D11+D12</f>
        <v>54.69645</v>
      </c>
      <c r="E18" s="14">
        <f>E9+E10+E11+E12</f>
        <v>82.5642725</v>
      </c>
      <c r="F18" s="14">
        <f>F9+F10+F11+F12</f>
        <v>119.847201575</v>
      </c>
    </row>
    <row r="19" ht="20.05" customHeight="1">
      <c r="B19" t="s" s="10">
        <v>18</v>
      </c>
      <c r="C19" s="13">
        <f>C17+C18</f>
        <v>5954.121</v>
      </c>
      <c r="D19" s="14">
        <f>D17+D18</f>
        <v>6008.81745</v>
      </c>
      <c r="E19" s="14">
        <f>E17+E18</f>
        <v>6091.3817225</v>
      </c>
      <c r="F19" s="14">
        <f>F17+F18</f>
        <v>6211.228924075</v>
      </c>
    </row>
    <row r="20" ht="20.05" customHeight="1">
      <c r="B20" t="s" s="15">
        <v>19</v>
      </c>
      <c r="C20" s="13"/>
      <c r="D20" s="14"/>
      <c r="E20" s="14"/>
      <c r="F20" s="16"/>
    </row>
    <row r="21" ht="20.05" customHeight="1">
      <c r="B21" t="s" s="10">
        <v>20</v>
      </c>
      <c r="C21" s="13">
        <f>-AVERAGE('Sales'!E25)</f>
        <v>-53.7</v>
      </c>
      <c r="D21" s="14">
        <f>C21</f>
        <v>-53.7</v>
      </c>
      <c r="E21" s="14">
        <f>D21</f>
        <v>-53.7</v>
      </c>
      <c r="F21" s="14">
        <f>E21</f>
        <v>-53.7</v>
      </c>
    </row>
    <row r="22" ht="20.05" customHeight="1">
      <c r="B22" t="s" s="10">
        <v>21</v>
      </c>
      <c r="C22" s="13">
        <f>AVERAGE('Sales'!F23:F25)</f>
        <v>22.6</v>
      </c>
      <c r="D22" s="14">
        <f>C22</f>
        <v>22.6</v>
      </c>
      <c r="E22" s="14">
        <f>D22</f>
        <v>22.6</v>
      </c>
      <c r="F22" s="14">
        <f>E22</f>
        <v>22.6</v>
      </c>
    </row>
    <row r="23" ht="20.05" customHeight="1">
      <c r="B23" t="s" s="10">
        <v>19</v>
      </c>
      <c r="C23" s="13">
        <f>C6+C8+C22+C21</f>
        <v>594.03</v>
      </c>
      <c r="D23" s="14">
        <f>D6+D8+D22+D21</f>
        <v>562.7735</v>
      </c>
      <c r="E23" s="14">
        <f>E6+E8+E22+E21</f>
        <v>592.467175</v>
      </c>
      <c r="F23" s="14">
        <f>F6+F8+F22+F21</f>
        <v>636.11687725</v>
      </c>
    </row>
    <row r="24" ht="20.05" customHeight="1">
      <c r="B24" t="s" s="15">
        <v>22</v>
      </c>
      <c r="C24" s="13"/>
      <c r="D24" s="14"/>
      <c r="E24" s="14"/>
      <c r="F24" s="14"/>
    </row>
    <row r="25" ht="20.05" customHeight="1">
      <c r="B25" t="s" s="10">
        <v>23</v>
      </c>
      <c r="C25" s="13">
        <f>'Balance sheet'!E26+'Balance sheet'!F26+C22-C10</f>
        <v>26106</v>
      </c>
      <c r="D25" s="14">
        <f>C25+D22-D10</f>
        <v>26357.3</v>
      </c>
      <c r="E25" s="14">
        <f>D25+E22-E10</f>
        <v>26608.6</v>
      </c>
      <c r="F25" s="14">
        <f>E25+F22-F10</f>
        <v>26859.9</v>
      </c>
    </row>
    <row r="26" ht="20.05" customHeight="1">
      <c r="B26" t="s" s="10">
        <v>24</v>
      </c>
      <c r="C26" s="13">
        <f>'Balance sheet'!F26-C21</f>
        <v>4587.4</v>
      </c>
      <c r="D26" s="14">
        <f>C26-D21</f>
        <v>4641.1</v>
      </c>
      <c r="E26" s="14">
        <f>D26-E21</f>
        <v>4694.8</v>
      </c>
      <c r="F26" s="14">
        <f>E26-F21</f>
        <v>4748.5</v>
      </c>
    </row>
    <row r="27" ht="20.05" customHeight="1">
      <c r="B27" t="s" s="10">
        <v>25</v>
      </c>
      <c r="C27" s="13">
        <f>C25-C26</f>
        <v>21518.6</v>
      </c>
      <c r="D27" s="14">
        <f>D25-D26</f>
        <v>21716.2</v>
      </c>
      <c r="E27" s="14">
        <f>E25-E26</f>
        <v>21913.8</v>
      </c>
      <c r="F27" s="14">
        <f>F25-F26</f>
        <v>22111.4</v>
      </c>
    </row>
    <row r="28" ht="20.05" customHeight="1">
      <c r="B28" t="s" s="10">
        <v>12</v>
      </c>
      <c r="C28" s="13">
        <f>'Balance sheet'!H26+C11+C13</f>
        <v>2784.9</v>
      </c>
      <c r="D28" s="14">
        <f>C28+D13+D11</f>
        <v>2643.255</v>
      </c>
      <c r="E28" s="14">
        <f>D28+E13+E11</f>
        <v>2508.69225</v>
      </c>
      <c r="F28" s="14">
        <f>E28+F13+F11</f>
        <v>2380.8576375</v>
      </c>
    </row>
    <row r="29" ht="20.05" customHeight="1">
      <c r="B29" t="s" s="10">
        <v>15</v>
      </c>
      <c r="C29" s="13">
        <f>C16</f>
        <v>0</v>
      </c>
      <c r="D29" s="14">
        <f>C29+D16</f>
        <v>0</v>
      </c>
      <c r="E29" s="14">
        <f>D29+E16</f>
        <v>0</v>
      </c>
      <c r="F29" s="14">
        <f>E29+F16</f>
        <v>0</v>
      </c>
    </row>
    <row r="30" ht="20.05" customHeight="1">
      <c r="B30" t="s" s="10">
        <v>13</v>
      </c>
      <c r="C30" s="13">
        <f>'Balance sheet'!I26+C23+C14</f>
        <v>24687.821</v>
      </c>
      <c r="D30" s="14">
        <f>C30+D23+D14</f>
        <v>25081.76245</v>
      </c>
      <c r="E30" s="14">
        <f>D30+E23+E14</f>
        <v>25496.4894725</v>
      </c>
      <c r="F30" s="14">
        <f>E30+F23+F14</f>
        <v>25941.771286575</v>
      </c>
    </row>
    <row r="31" ht="20.05" customHeight="1">
      <c r="B31" t="s" s="10">
        <v>26</v>
      </c>
      <c r="C31" s="13">
        <f>C28+C29+C30-C19-C27</f>
        <v>0</v>
      </c>
      <c r="D31" s="14">
        <f>D28+D29+D30-D19-D27</f>
        <v>0</v>
      </c>
      <c r="E31" s="14">
        <f>E28+E29+E30-E19-E27</f>
        <v>0</v>
      </c>
      <c r="F31" s="14">
        <f>F28+F29+F30-F19-F27</f>
        <v>0</v>
      </c>
    </row>
    <row r="32" ht="20.05" customHeight="1">
      <c r="B32" t="s" s="10">
        <v>27</v>
      </c>
      <c r="C32" s="13">
        <f>C19-C28-C29</f>
        <v>3169.221</v>
      </c>
      <c r="D32" s="14">
        <f>D19-D28-D29</f>
        <v>3365.56245</v>
      </c>
      <c r="E32" s="14">
        <f>E19-E28-E29</f>
        <v>3582.6894725</v>
      </c>
      <c r="F32" s="14">
        <f>F19-F28-F29</f>
        <v>3830.371286575</v>
      </c>
    </row>
    <row r="33" ht="20.05" customHeight="1">
      <c r="B33" t="s" s="15">
        <v>28</v>
      </c>
      <c r="C33" s="13"/>
      <c r="D33" s="14"/>
      <c r="E33" s="14"/>
      <c r="F33" s="14"/>
    </row>
    <row r="34" ht="20.05" customHeight="1">
      <c r="B34" t="s" s="10">
        <v>29</v>
      </c>
      <c r="C34" s="13">
        <f>'Cashflow '!L25-(C12-C11)</f>
        <v>-7931.591</v>
      </c>
      <c r="D34" s="14">
        <f>C34-(D12-D11)</f>
        <v>-7625.91395</v>
      </c>
      <c r="E34" s="14">
        <f>D34-(E12-E11)</f>
        <v>-7318.4110475</v>
      </c>
      <c r="F34" s="14">
        <f>E34-(F12-F11)</f>
        <v>-7004.541371825</v>
      </c>
    </row>
    <row r="35" ht="20.05" customHeight="1">
      <c r="B35" t="s" s="10">
        <v>30</v>
      </c>
      <c r="C35" s="13"/>
      <c r="D35" s="14"/>
      <c r="E35" s="14"/>
      <c r="F35" s="14">
        <v>120870</v>
      </c>
    </row>
    <row r="36" ht="20.05" customHeight="1">
      <c r="B36" t="s" s="10">
        <v>31</v>
      </c>
      <c r="C36" s="13"/>
      <c r="D36" s="14"/>
      <c r="E36" s="14"/>
      <c r="F36" s="17">
        <f>F35/(C6+D6+E6+F6)</f>
        <v>8.692716570442981</v>
      </c>
    </row>
    <row r="37" ht="20.05" customHeight="1">
      <c r="B37" t="s" s="10">
        <v>32</v>
      </c>
      <c r="C37" s="13"/>
      <c r="D37" s="14"/>
      <c r="E37" s="14"/>
      <c r="F37" s="17">
        <f>F35/(F19+F27)</f>
        <v>4.26761231536869</v>
      </c>
    </row>
    <row r="38" ht="20.05" customHeight="1">
      <c r="B38" t="s" s="10">
        <v>33</v>
      </c>
      <c r="C38" s="13"/>
      <c r="D38" s="14"/>
      <c r="E38" s="14"/>
      <c r="F38" s="18">
        <f>-(C14+D14+E14+F14)/F35</f>
        <v>0.00592054492988335</v>
      </c>
    </row>
    <row r="39" ht="20.05" customHeight="1">
      <c r="B39" t="s" s="10">
        <v>34</v>
      </c>
      <c r="C39" s="13"/>
      <c r="D39" s="14"/>
      <c r="E39" s="14"/>
      <c r="F39" s="14">
        <f>SUM(C9:F11)</f>
        <v>1585.38755225</v>
      </c>
    </row>
    <row r="40" ht="20.05" customHeight="1">
      <c r="B40" t="s" s="10">
        <v>35</v>
      </c>
      <c r="C40" s="13"/>
      <c r="D40" s="14"/>
      <c r="E40" s="14"/>
      <c r="F40" s="14">
        <f>'Balance sheet'!E26/F39</f>
        <v>13.4484467029787</v>
      </c>
    </row>
    <row r="41" ht="20.05" customHeight="1">
      <c r="B41" t="s" s="10">
        <v>28</v>
      </c>
      <c r="C41" s="13"/>
      <c r="D41" s="14"/>
      <c r="E41" s="14"/>
      <c r="F41" s="14">
        <f>F35/F39</f>
        <v>76.24003344069401</v>
      </c>
    </row>
    <row r="42" ht="20.05" customHeight="1">
      <c r="B42" t="s" s="10">
        <v>36</v>
      </c>
      <c r="C42" s="13"/>
      <c r="D42" s="14"/>
      <c r="E42" s="14"/>
      <c r="F42" s="14">
        <v>40</v>
      </c>
    </row>
    <row r="43" ht="20.05" customHeight="1">
      <c r="B43" t="s" s="10">
        <v>37</v>
      </c>
      <c r="C43" s="13"/>
      <c r="D43" s="14"/>
      <c r="E43" s="14"/>
      <c r="F43" s="14">
        <f>F39*F42</f>
        <v>63415.50209</v>
      </c>
    </row>
    <row r="44" ht="20.05" customHeight="1">
      <c r="B44" t="s" s="10">
        <v>38</v>
      </c>
      <c r="C44" s="13"/>
      <c r="D44" s="14"/>
      <c r="E44" s="14"/>
      <c r="F44" s="14">
        <f>F35/F46</f>
        <v>61.2</v>
      </c>
    </row>
    <row r="45" ht="20.05" customHeight="1">
      <c r="B45" t="s" s="10">
        <v>39</v>
      </c>
      <c r="C45" s="13"/>
      <c r="D45" s="14"/>
      <c r="E45" s="14"/>
      <c r="F45" s="14">
        <f>F43/F44</f>
        <v>1036.201014542480</v>
      </c>
    </row>
    <row r="46" ht="20.05" customHeight="1">
      <c r="B46" t="s" s="10">
        <v>40</v>
      </c>
      <c r="C46" s="13"/>
      <c r="D46" s="14"/>
      <c r="E46" s="14"/>
      <c r="F46" s="14">
        <f>'Share price '!C74</f>
        <v>1975</v>
      </c>
    </row>
    <row r="47" ht="20.05" customHeight="1">
      <c r="B47" t="s" s="10">
        <v>41</v>
      </c>
      <c r="C47" s="13"/>
      <c r="D47" s="14"/>
      <c r="E47" s="14"/>
      <c r="F47" s="18">
        <f>F45/F46-1</f>
        <v>-0.475341258459504</v>
      </c>
    </row>
    <row r="48" ht="20.05" customHeight="1">
      <c r="B48" t="s" s="10">
        <v>42</v>
      </c>
      <c r="C48" s="13"/>
      <c r="D48" s="14"/>
      <c r="E48" s="14"/>
      <c r="F48" s="18">
        <f>'Sales'!C25/'Sales'!C21-1</f>
        <v>-0.00693896861693739</v>
      </c>
    </row>
    <row r="49" ht="20.05" customHeight="1">
      <c r="B49" t="s" s="10">
        <v>43</v>
      </c>
      <c r="C49" s="13"/>
      <c r="D49" s="14"/>
      <c r="E49" s="14"/>
      <c r="F49" s="18">
        <f>('Sales'!D22+'Sales'!D25+'Sales'!D23+'Sales'!D24)/('Sales'!C22+'Sales'!C23+'Sales'!C25+'Sales'!C24)-1</f>
        <v>0.0259565902193538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19" customWidth="1"/>
    <col min="2" max="10" width="10.9688" style="19" customWidth="1"/>
    <col min="11" max="16384" width="16.3516" style="19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20">
        <v>1</v>
      </c>
      <c r="C2" t="s" s="20">
        <v>5</v>
      </c>
      <c r="D2" t="s" s="20">
        <v>36</v>
      </c>
      <c r="E2" t="s" s="20">
        <v>24</v>
      </c>
      <c r="F2" t="s" s="20">
        <v>44</v>
      </c>
      <c r="G2" t="s" s="20">
        <v>45</v>
      </c>
      <c r="H2" t="s" s="20">
        <v>46</v>
      </c>
      <c r="I2" t="s" s="20">
        <v>6</v>
      </c>
      <c r="J2" t="s" s="20">
        <v>47</v>
      </c>
    </row>
    <row r="3" ht="20.25" customHeight="1">
      <c r="B3" s="21">
        <v>2016</v>
      </c>
      <c r="C3" s="22">
        <v>1575.5</v>
      </c>
      <c r="D3" s="23"/>
      <c r="E3" s="23">
        <v>106.3</v>
      </c>
      <c r="F3" s="23"/>
      <c r="G3" s="23">
        <v>59.8</v>
      </c>
      <c r="H3" s="9"/>
      <c r="I3" s="9">
        <f>(G3+E3-F3-C3)/C3</f>
        <v>-0.894573151380514</v>
      </c>
      <c r="J3" s="9"/>
    </row>
    <row r="4" ht="20.05" customHeight="1">
      <c r="B4" s="24"/>
      <c r="C4" s="13">
        <v>1921.9</v>
      </c>
      <c r="D4" s="14"/>
      <c r="E4" s="14">
        <v>104.4</v>
      </c>
      <c r="F4" s="14"/>
      <c r="G4" s="14">
        <v>283.8</v>
      </c>
      <c r="H4" s="12">
        <f>C4/C3-1</f>
        <v>0.219866708981276</v>
      </c>
      <c r="I4" s="12">
        <f>(G4+E4-F4-C4)/C4</f>
        <v>-0.79801238357875</v>
      </c>
      <c r="J4" s="12"/>
    </row>
    <row r="5" ht="20.05" customHeight="1">
      <c r="B5" s="24"/>
      <c r="C5" s="13">
        <v>1857.1</v>
      </c>
      <c r="D5" s="14"/>
      <c r="E5" s="14">
        <v>106.3</v>
      </c>
      <c r="F5" s="14"/>
      <c r="G5" s="14">
        <v>387.5</v>
      </c>
      <c r="H5" s="12">
        <f>C5/C4-1</f>
        <v>-0.0337166345803632</v>
      </c>
      <c r="I5" s="12">
        <f>(G5+E5-F5-C5)/C5</f>
        <v>-0.734101556189758</v>
      </c>
      <c r="J5" s="12"/>
    </row>
    <row r="6" ht="20.05" customHeight="1">
      <c r="B6" s="24"/>
      <c r="C6" s="13">
        <v>2014.3</v>
      </c>
      <c r="D6" s="14"/>
      <c r="E6" s="14">
        <v>136.5</v>
      </c>
      <c r="F6" s="14"/>
      <c r="G6" s="14">
        <v>131</v>
      </c>
      <c r="H6" s="12">
        <f>C6/C5-1</f>
        <v>0.0846481072640138</v>
      </c>
      <c r="I6" s="12">
        <f>(G6+E6-F6-C6)/C6</f>
        <v>-0.867199523407635</v>
      </c>
      <c r="J6" s="12"/>
    </row>
    <row r="7" ht="20.05" customHeight="1">
      <c r="B7" s="25">
        <v>2017</v>
      </c>
      <c r="C7" s="13">
        <v>1923.6</v>
      </c>
      <c r="D7" s="14"/>
      <c r="E7" s="14">
        <v>127.8</v>
      </c>
      <c r="F7" s="14">
        <v>-55</v>
      </c>
      <c r="G7" s="14">
        <v>126.7</v>
      </c>
      <c r="H7" s="12">
        <f>C7/C6-1</f>
        <v>-0.0450280494464578</v>
      </c>
      <c r="I7" s="12">
        <f>(G7+E7-F7-C7)/C7</f>
        <v>-0.839103763776253</v>
      </c>
      <c r="J7" s="12">
        <f>('Cashflow '!E8+'Cashflow '!D8-'Cashflow '!C8)/'Cashflow '!C8</f>
        <v>-0.883849088596863</v>
      </c>
    </row>
    <row r="8" ht="20.05" customHeight="1">
      <c r="B8" s="24"/>
      <c r="C8" s="13">
        <v>2325.2</v>
      </c>
      <c r="D8" s="14"/>
      <c r="E8" s="14">
        <v>225.6</v>
      </c>
      <c r="F8" s="14">
        <v>-22</v>
      </c>
      <c r="G8" s="14">
        <v>376.8</v>
      </c>
      <c r="H8" s="12">
        <f>C8/C7-1</f>
        <v>0.208775213142025</v>
      </c>
      <c r="I8" s="12">
        <f>(G8+E8-F8-C8)/C8</f>
        <v>-0.731463960089455</v>
      </c>
      <c r="J8" s="12">
        <f>('Cashflow '!E9+'Cashflow '!D9-'Cashflow '!C9)/'Cashflow '!C9</f>
        <v>-0.874875085467838</v>
      </c>
    </row>
    <row r="9" ht="20.05" customHeight="1">
      <c r="B9" s="24"/>
      <c r="C9" s="13">
        <v>1858.1</v>
      </c>
      <c r="D9" s="14"/>
      <c r="E9" s="14">
        <v>146.9</v>
      </c>
      <c r="F9" s="14">
        <v>216</v>
      </c>
      <c r="G9" s="14">
        <v>-39.5</v>
      </c>
      <c r="H9" s="12">
        <f>C9/C8-1</f>
        <v>-0.200885945295028</v>
      </c>
      <c r="I9" s="12">
        <f>(G9+E9-F9-C9)/C9</f>
        <v>-1.05844680049513</v>
      </c>
      <c r="J9" s="12">
        <f>('Cashflow '!E10+'Cashflow '!D10-'Cashflow '!C10)/'Cashflow '!C10</f>
        <v>-0.866629541974106</v>
      </c>
    </row>
    <row r="10" ht="20.05" customHeight="1">
      <c r="B10" s="24"/>
      <c r="C10" s="13">
        <v>1486.1</v>
      </c>
      <c r="D10" s="14"/>
      <c r="E10" s="14">
        <v>137.7</v>
      </c>
      <c r="F10" s="14">
        <v>132</v>
      </c>
      <c r="G10" s="14">
        <v>-16.1</v>
      </c>
      <c r="H10" s="12">
        <f>C10/C9-1</f>
        <v>-0.200204509983316</v>
      </c>
      <c r="I10" s="12">
        <f>(G10+E10-F10-C10)/C10</f>
        <v>-1.00699818316399</v>
      </c>
      <c r="J10" s="12">
        <f>('Cashflow '!E11+'Cashflow '!D11-'Cashflow '!C11)/'Cashflow '!C11</f>
        <v>-0.820500184797339</v>
      </c>
    </row>
    <row r="11" ht="20.05" customHeight="1">
      <c r="B11" s="25">
        <v>2018</v>
      </c>
      <c r="C11" s="13">
        <v>1879</v>
      </c>
      <c r="D11" s="14"/>
      <c r="E11" s="14">
        <v>140.8</v>
      </c>
      <c r="F11" s="14">
        <v>-41</v>
      </c>
      <c r="G11" s="14">
        <v>-86.5</v>
      </c>
      <c r="H11" s="12">
        <f>C11/C10-1</f>
        <v>0.264383285108674</v>
      </c>
      <c r="I11" s="12">
        <f>(G11+E11-F11-C11)/C11</f>
        <v>-0.949281532730176</v>
      </c>
      <c r="J11" s="12">
        <f>('Cashflow '!E12+'Cashflow '!D12-'Cashflow '!C12)/'Cashflow '!C12</f>
        <v>-0.951744449478931</v>
      </c>
    </row>
    <row r="12" ht="20.05" customHeight="1">
      <c r="B12" s="24"/>
      <c r="C12" s="13">
        <v>2230.6</v>
      </c>
      <c r="D12" s="14"/>
      <c r="E12" s="14">
        <v>145.1</v>
      </c>
      <c r="F12" s="14">
        <v>18</v>
      </c>
      <c r="G12" s="14">
        <v>-4.2</v>
      </c>
      <c r="H12" s="12">
        <f>C12/C11-1</f>
        <v>0.187120808940926</v>
      </c>
      <c r="I12" s="12">
        <f>(G12+E12-F12-C12)/C12</f>
        <v>-0.944902716757823</v>
      </c>
      <c r="J12" s="12">
        <f>('Cashflow '!E13+'Cashflow '!D13-'Cashflow '!C13)/'Cashflow '!C13</f>
        <v>-1.0842913826432</v>
      </c>
    </row>
    <row r="13" ht="20.05" customHeight="1">
      <c r="B13" s="24"/>
      <c r="C13" s="13">
        <v>2445.5</v>
      </c>
      <c r="D13" s="14"/>
      <c r="E13" s="14">
        <v>143.8</v>
      </c>
      <c r="F13" s="14">
        <v>-10</v>
      </c>
      <c r="G13" s="14">
        <v>-126.9</v>
      </c>
      <c r="H13" s="12">
        <f>C13/C12-1</f>
        <v>0.0963417914462476</v>
      </c>
      <c r="I13" s="12">
        <f>(G13+E13-F13-C13)/C13</f>
        <v>-0.989000204457166</v>
      </c>
      <c r="J13" s="12">
        <f>('Cashflow '!E14+'Cashflow '!D14-'Cashflow '!C14)/'Cashflow '!C14</f>
        <v>-0.7987297415681121</v>
      </c>
    </row>
    <row r="14" ht="20.05" customHeight="1">
      <c r="B14" s="24"/>
      <c r="C14" s="13">
        <v>2404.6</v>
      </c>
      <c r="D14" s="14"/>
      <c r="E14" s="14">
        <v>193.5</v>
      </c>
      <c r="F14" s="14">
        <v>-2070</v>
      </c>
      <c r="G14" s="14">
        <v>-2087.9</v>
      </c>
      <c r="H14" s="12">
        <f>C14/C13-1</f>
        <v>-0.0167245961970967</v>
      </c>
      <c r="I14" s="12">
        <f>(G14+E14-F14-C14)/C14</f>
        <v>-0.926973301172752</v>
      </c>
      <c r="J14" s="12">
        <f>('Cashflow '!E15+'Cashflow '!D15-'Cashflow '!C15)/'Cashflow '!C15</f>
        <v>-0.8901645618063529</v>
      </c>
    </row>
    <row r="15" ht="20.05" customHeight="1">
      <c r="B15" s="25">
        <v>2019</v>
      </c>
      <c r="C15" s="13">
        <v>2644.4</v>
      </c>
      <c r="D15" s="14"/>
      <c r="E15" s="14">
        <v>149.8</v>
      </c>
      <c r="F15" s="14">
        <v>-77</v>
      </c>
      <c r="G15" s="14">
        <v>-104.9</v>
      </c>
      <c r="H15" s="12">
        <f>C15/C14-1</f>
        <v>0.0997255260750229</v>
      </c>
      <c r="I15" s="12">
        <f>(G15+E15-F15-C15)/C15</f>
        <v>-0.953902586598094</v>
      </c>
      <c r="J15" s="12">
        <f>('Cashflow '!E16+'Cashflow '!D16-'Cashflow '!C16)/'Cashflow '!C16</f>
        <v>-1.05042731580866</v>
      </c>
    </row>
    <row r="16" ht="20.05" customHeight="1">
      <c r="B16" s="24"/>
      <c r="C16" s="13">
        <v>2758</v>
      </c>
      <c r="D16" s="14"/>
      <c r="E16" s="14">
        <v>135.6</v>
      </c>
      <c r="F16" s="14">
        <v>-421</v>
      </c>
      <c r="G16" s="14">
        <v>-1039.1</v>
      </c>
      <c r="H16" s="12">
        <f>C16/C15-1</f>
        <v>0.0429587051883225</v>
      </c>
      <c r="I16" s="12">
        <f>(G16+E16-F16-C16)/C16</f>
        <v>-1.17494561276287</v>
      </c>
      <c r="J16" s="12">
        <f>('Cashflow '!E17+'Cashflow '!D17-'Cashflow '!C17)/'Cashflow '!C17</f>
        <v>-1.33243946042581</v>
      </c>
    </row>
    <row r="17" ht="20.05" customHeight="1">
      <c r="B17" s="24"/>
      <c r="C17" s="13">
        <v>2713.6</v>
      </c>
      <c r="D17" s="14"/>
      <c r="E17" s="14">
        <v>107.1</v>
      </c>
      <c r="F17" s="14">
        <v>210</v>
      </c>
      <c r="G17" s="14">
        <v>-255.7</v>
      </c>
      <c r="H17" s="12">
        <f>C17/C16-1</f>
        <v>-0.0160986221899927</v>
      </c>
      <c r="I17" s="12">
        <f>(G17+E17-F17-C17)/C17</f>
        <v>-1.1321491745283</v>
      </c>
      <c r="J17" s="12">
        <f>('Cashflow '!E18+'Cashflow '!D18-'Cashflow '!C18)/'Cashflow '!C18</f>
        <v>-1.04518601870736</v>
      </c>
    </row>
    <row r="18" ht="20.05" customHeight="1">
      <c r="B18" s="24"/>
      <c r="C18" s="13">
        <v>2984.1</v>
      </c>
      <c r="D18" s="14"/>
      <c r="E18" s="14">
        <v>156.2</v>
      </c>
      <c r="F18" s="14">
        <v>-164</v>
      </c>
      <c r="G18" s="14">
        <v>-943.4</v>
      </c>
      <c r="H18" s="12">
        <f>C18/C17-1</f>
        <v>0.0996830778301887</v>
      </c>
      <c r="I18" s="12">
        <f>(G18+E18-F18-C18)/C18</f>
        <v>-1.20884018632083</v>
      </c>
      <c r="J18" s="12">
        <f>('Cashflow '!E19+'Cashflow '!D19-'Cashflow '!C19)/'Cashflow '!C19</f>
        <v>-1.17248135507521</v>
      </c>
    </row>
    <row r="19" ht="20.05" customHeight="1">
      <c r="B19" s="25">
        <v>2020</v>
      </c>
      <c r="C19" s="13">
        <v>2645.5</v>
      </c>
      <c r="D19" s="14"/>
      <c r="E19" s="14">
        <v>112.2</v>
      </c>
      <c r="F19" s="14">
        <v>-115</v>
      </c>
      <c r="G19" s="14">
        <v>-377</v>
      </c>
      <c r="H19" s="12">
        <f>C19/C18-1</f>
        <v>-0.113468047317449</v>
      </c>
      <c r="I19" s="12">
        <f>(G19+E19-F19-C19)/C19</f>
        <v>-1.05662445662446</v>
      </c>
      <c r="J19" s="12">
        <f>('Cashflow '!E20+'Cashflow '!D20-'Cashflow '!C20)/'Cashflow '!C20</f>
        <v>-0.984615384615385</v>
      </c>
    </row>
    <row r="20" ht="20.05" customHeight="1">
      <c r="B20" s="24"/>
      <c r="C20" s="13">
        <v>2702.5</v>
      </c>
      <c r="D20" s="14"/>
      <c r="E20" s="14">
        <v>116.5</v>
      </c>
      <c r="F20" s="14">
        <v>175</v>
      </c>
      <c r="G20" s="14">
        <v>-17.5</v>
      </c>
      <c r="H20" s="12">
        <f>C20/C19-1</f>
        <v>0.0215460215460215</v>
      </c>
      <c r="I20" s="12">
        <f>(G20+E20-F20-C20)/C20</f>
        <v>-1.02812210915819</v>
      </c>
      <c r="J20" s="12">
        <f>('Cashflow '!E21+'Cashflow '!D21-'Cashflow '!C21)/'Cashflow '!C21</f>
        <v>-1.04275394877821</v>
      </c>
    </row>
    <row r="21" ht="20.05" customHeight="1">
      <c r="B21" s="24"/>
      <c r="C21" s="13">
        <v>3170.5</v>
      </c>
      <c r="D21" s="14"/>
      <c r="E21" s="14">
        <v>114.8</v>
      </c>
      <c r="F21" s="14">
        <v>555</v>
      </c>
      <c r="G21" s="14">
        <v>571.4</v>
      </c>
      <c r="H21" s="12">
        <f>C21/C20-1</f>
        <v>0.173172987974098</v>
      </c>
      <c r="I21" s="12">
        <f>(G21+E21-F21-C21)/C21</f>
        <v>-0.958618514429901</v>
      </c>
      <c r="J21" s="12">
        <f>('Cashflow '!E22+'Cashflow '!D22-'Cashflow '!C22)/'Cashflow '!C22</f>
        <v>-0.92532842387743</v>
      </c>
    </row>
    <row r="22" ht="20.05" customHeight="1">
      <c r="B22" s="24"/>
      <c r="C22" s="13">
        <f>11936.4-SUM(C19:C21)</f>
        <v>3417.9</v>
      </c>
      <c r="D22" s="14">
        <v>3329.025</v>
      </c>
      <c r="E22" s="14">
        <v>178.7</v>
      </c>
      <c r="F22" s="14">
        <v>1764</v>
      </c>
      <c r="G22" s="14">
        <v>1540.5</v>
      </c>
      <c r="H22" s="12">
        <f>C22/C21-1</f>
        <v>0.078031856174105</v>
      </c>
      <c r="I22" s="12">
        <f>(G22+E22-F22-C22)/C22</f>
        <v>-1.01310746364727</v>
      </c>
      <c r="J22" s="12">
        <f>('Cashflow '!E23+'Cashflow '!D23-'Cashflow '!C23)/'Cashflow '!C23</f>
        <v>-0.536513224018608</v>
      </c>
    </row>
    <row r="23" ht="20.05" customHeight="1">
      <c r="B23" s="25">
        <v>2021</v>
      </c>
      <c r="C23" s="13">
        <v>3125.5</v>
      </c>
      <c r="D23" s="14">
        <v>3383.721</v>
      </c>
      <c r="E23" s="14">
        <f>88.3+3.4+22.5</f>
        <v>114.2</v>
      </c>
      <c r="F23" s="14">
        <f>216-86.5</f>
        <v>129.5</v>
      </c>
      <c r="G23" s="14">
        <v>218</v>
      </c>
      <c r="H23" s="12">
        <f>C23/C22-1</f>
        <v>-0.0855496064835133</v>
      </c>
      <c r="I23" s="12">
        <f>(G23+E23-F23-C23)/C23</f>
        <v>-0.935146376579747</v>
      </c>
      <c r="J23" s="12">
        <f>('Cashflow '!E24+'Cashflow '!D24-'Cashflow '!C24)/'Cashflow '!C24</f>
        <v>-0.859041690981002</v>
      </c>
    </row>
    <row r="24" ht="20.05" customHeight="1">
      <c r="B24" s="24"/>
      <c r="C24" s="13">
        <f>6449.1-C23</f>
        <v>3323.6</v>
      </c>
      <c r="D24" s="14">
        <v>3250.52</v>
      </c>
      <c r="E24" s="14">
        <f>182.7+6.4+45-E23</f>
        <v>119.9</v>
      </c>
      <c r="F24" s="14">
        <f>444.4-47.6</f>
        <v>396.8</v>
      </c>
      <c r="G24" s="14">
        <f>493.9-G23</f>
        <v>275.9</v>
      </c>
      <c r="H24" s="12">
        <f>C24/C23-1</f>
        <v>0.0633818589025756</v>
      </c>
      <c r="I24" s="12">
        <f>(G24+E24-F24-C24)/C24</f>
        <v>-1.00030087856541</v>
      </c>
      <c r="J24" s="12">
        <f>('Cashflow '!E25+'Cashflow '!D25-'Cashflow '!C25)/'Cashflow '!C25</f>
        <v>-0.973071528751753</v>
      </c>
    </row>
    <row r="25" ht="20.05" customHeight="1">
      <c r="B25" s="24"/>
      <c r="C25" s="13">
        <f>9597.6-SUM(C23:C24)</f>
        <v>3148.5</v>
      </c>
      <c r="D25" s="14">
        <v>3390.072</v>
      </c>
      <c r="E25" s="14">
        <f>277.7+10.1-SUM(E23:E24)</f>
        <v>53.7</v>
      </c>
      <c r="F25" s="14">
        <f>67.8-SUM(F23:F24)</f>
        <v>-458.5</v>
      </c>
      <c r="G25" s="14">
        <f>550-SUM(G23:G24)</f>
        <v>56.1</v>
      </c>
      <c r="H25" s="12">
        <f>C25/C24-1</f>
        <v>-0.0526838368034661</v>
      </c>
      <c r="I25" s="12">
        <f>(G25+E25-F25-C25)/C25</f>
        <v>-0.819501349849135</v>
      </c>
      <c r="J25" s="12">
        <f>('Cashflow '!E26+'Cashflow '!D26-'Cashflow '!C26)/'Cashflow '!C26</f>
        <v>-0.828395874478824</v>
      </c>
    </row>
    <row r="26" ht="20.05" customHeight="1">
      <c r="B26" s="24"/>
      <c r="C26" s="13"/>
      <c r="D26" s="14">
        <f>'Model'!C6</f>
        <v>3463.35</v>
      </c>
      <c r="E26" s="14"/>
      <c r="F26" s="14"/>
      <c r="G26" s="14"/>
      <c r="H26" s="12"/>
      <c r="I26" s="12">
        <f>'Model'!C7</f>
        <v>-0.819501349849135</v>
      </c>
      <c r="J26" s="12"/>
    </row>
    <row r="27" ht="20.05" customHeight="1">
      <c r="B27" s="25">
        <v>2020</v>
      </c>
      <c r="C27" s="13"/>
      <c r="D27" s="14">
        <f>'Model'!D6</f>
        <v>3290.1825</v>
      </c>
      <c r="E27" s="14"/>
      <c r="F27" s="14"/>
      <c r="G27" s="14"/>
      <c r="H27" s="12"/>
      <c r="I27" s="12"/>
      <c r="J27" s="12"/>
    </row>
    <row r="28" ht="20.05" customHeight="1">
      <c r="B28" s="24"/>
      <c r="C28" s="13"/>
      <c r="D28" s="14">
        <f>'Model'!E6</f>
        <v>3454.691625</v>
      </c>
      <c r="E28" s="14"/>
      <c r="F28" s="14"/>
      <c r="G28" s="14"/>
      <c r="H28" s="12"/>
      <c r="I28" s="12"/>
      <c r="J28" s="12"/>
    </row>
    <row r="29" ht="20.05" customHeight="1">
      <c r="B29" s="24"/>
      <c r="C29" s="13"/>
      <c r="D29" s="14">
        <f>'Model'!F6</f>
        <v>3696.52003875</v>
      </c>
      <c r="E29" s="14"/>
      <c r="F29" s="14"/>
      <c r="G29" s="14"/>
      <c r="H29" s="12"/>
      <c r="I29" s="12"/>
      <c r="J29" s="12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L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6" customWidth="1"/>
    <col min="2" max="2" width="9.89062" style="26" customWidth="1"/>
    <col min="3" max="12" width="10.9922" style="26" customWidth="1"/>
    <col min="13" max="16384" width="16.3516" style="26" customWidth="1"/>
  </cols>
  <sheetData>
    <row r="1" ht="13.8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46.75" customHeight="1">
      <c r="B3" t="s" s="20">
        <v>1</v>
      </c>
      <c r="C3" t="s" s="20">
        <v>48</v>
      </c>
      <c r="D3" t="s" s="20">
        <v>49</v>
      </c>
      <c r="E3" t="s" s="20">
        <v>8</v>
      </c>
      <c r="F3" t="s" s="20">
        <v>50</v>
      </c>
      <c r="G3" t="s" s="20">
        <v>9</v>
      </c>
      <c r="H3" t="s" s="20">
        <v>10</v>
      </c>
      <c r="I3" t="s" s="20">
        <v>11</v>
      </c>
      <c r="J3" t="s" s="20">
        <v>51</v>
      </c>
      <c r="K3" t="s" s="20">
        <v>34</v>
      </c>
      <c r="L3" t="s" s="20">
        <v>29</v>
      </c>
    </row>
    <row r="4" ht="21.4" customHeight="1">
      <c r="B4" s="21">
        <v>2016</v>
      </c>
      <c r="C4" s="22">
        <v>1551</v>
      </c>
      <c r="D4" s="23">
        <v>-6.8</v>
      </c>
      <c r="E4" s="23">
        <v>490.7</v>
      </c>
      <c r="F4" s="23"/>
      <c r="G4" s="23">
        <v>-359.5</v>
      </c>
      <c r="H4" s="23">
        <v>-0.5</v>
      </c>
      <c r="I4" s="23">
        <v>-4.5</v>
      </c>
      <c r="J4" s="23">
        <f>D4+E4+G4+H4</f>
        <v>123.9</v>
      </c>
      <c r="K4" s="27"/>
      <c r="L4" s="23">
        <f>-(I4-H4-D4)</f>
        <v>-2.8</v>
      </c>
    </row>
    <row r="5" ht="21.2" customHeight="1">
      <c r="B5" s="24"/>
      <c r="C5" s="13">
        <v>1749.9</v>
      </c>
      <c r="D5" s="14">
        <v>-6.5</v>
      </c>
      <c r="E5" s="14">
        <v>-43.7</v>
      </c>
      <c r="F5" s="14"/>
      <c r="G5" s="14">
        <v>-512.7</v>
      </c>
      <c r="H5" s="14">
        <v>-0.6</v>
      </c>
      <c r="I5" s="14">
        <v>267</v>
      </c>
      <c r="J5" s="14">
        <f>D5+E5+G5+H5</f>
        <v>-563.5</v>
      </c>
      <c r="K5" s="28"/>
      <c r="L5" s="14">
        <f>-(I5-H5-D5)+L4</f>
        <v>-276.9</v>
      </c>
    </row>
    <row r="6" ht="21.2" customHeight="1">
      <c r="B6" s="24"/>
      <c r="C6" s="13">
        <v>1667.8</v>
      </c>
      <c r="D6" s="14">
        <v>-4.9</v>
      </c>
      <c r="E6" s="14">
        <v>291.2</v>
      </c>
      <c r="F6" s="14"/>
      <c r="G6" s="14">
        <v>-4419.9</v>
      </c>
      <c r="H6" s="14">
        <v>-0.5</v>
      </c>
      <c r="I6" s="14">
        <v>9.4</v>
      </c>
      <c r="J6" s="14">
        <f>D6+E6+G6+H6</f>
        <v>-4134.1</v>
      </c>
      <c r="K6" s="28"/>
      <c r="L6" s="14">
        <f>-(I6-H6-D6)+L5</f>
        <v>-291.7</v>
      </c>
    </row>
    <row r="7" ht="21.2" customHeight="1">
      <c r="B7" s="24"/>
      <c r="C7" s="13">
        <v>2152.4</v>
      </c>
      <c r="D7" s="14">
        <v>-10.1</v>
      </c>
      <c r="E7" s="14">
        <v>470</v>
      </c>
      <c r="F7" s="14"/>
      <c r="G7" s="14">
        <v>-55.6</v>
      </c>
      <c r="H7" s="14">
        <v>-0.3</v>
      </c>
      <c r="I7" s="14">
        <v>-877</v>
      </c>
      <c r="J7" s="14">
        <f>D7+E7+G7+H7</f>
        <v>404</v>
      </c>
      <c r="K7" s="28"/>
      <c r="L7" s="14">
        <f>-(I7-H7-D7)+L6</f>
        <v>574.9</v>
      </c>
    </row>
    <row r="8" ht="21.2" customHeight="1">
      <c r="B8" s="25">
        <v>2017</v>
      </c>
      <c r="C8" s="13">
        <v>1887.2</v>
      </c>
      <c r="D8" s="14">
        <v>-13.8</v>
      </c>
      <c r="E8" s="14">
        <v>233</v>
      </c>
      <c r="F8" s="14">
        <v>-81.75</v>
      </c>
      <c r="G8" s="14">
        <v>777</v>
      </c>
      <c r="H8" s="14">
        <v>-0.7</v>
      </c>
      <c r="I8" s="14">
        <v>-76.7</v>
      </c>
      <c r="J8" s="14">
        <f>D8+E8+G8+H8</f>
        <v>995.5</v>
      </c>
      <c r="K8" s="14">
        <f>AVERAGE(J5:J8)</f>
        <v>-824.525</v>
      </c>
      <c r="L8" s="14">
        <f>-(I8-H8-D8)+L7</f>
        <v>637.1</v>
      </c>
    </row>
    <row r="9" ht="21.2" customHeight="1">
      <c r="B9" s="24"/>
      <c r="C9" s="13">
        <v>1901.3</v>
      </c>
      <c r="D9" s="14">
        <v>6.6</v>
      </c>
      <c r="E9" s="14">
        <v>231.3</v>
      </c>
      <c r="F9" s="14">
        <v>-81.75</v>
      </c>
      <c r="G9" s="14">
        <v>65.3</v>
      </c>
      <c r="H9" s="14">
        <v>-0.9</v>
      </c>
      <c r="I9" s="14">
        <v>1165.1</v>
      </c>
      <c r="J9" s="14">
        <f>D9+E9+G9+H9</f>
        <v>302.3</v>
      </c>
      <c r="K9" s="14">
        <f>AVERAGE(J6:J9)</f>
        <v>-608.075</v>
      </c>
      <c r="L9" s="14">
        <f>-(I9-H9-D9)+L8</f>
        <v>-522.3</v>
      </c>
    </row>
    <row r="10" ht="21.2" customHeight="1">
      <c r="B10" s="24"/>
      <c r="C10" s="13">
        <v>2154.9</v>
      </c>
      <c r="D10" s="14">
        <v>-5.9</v>
      </c>
      <c r="E10" s="14">
        <v>293.3</v>
      </c>
      <c r="F10" s="14">
        <v>-81.75</v>
      </c>
      <c r="G10" s="14">
        <v>-137.7</v>
      </c>
      <c r="H10" s="14">
        <v>-0.7</v>
      </c>
      <c r="I10" s="14">
        <v>363.4</v>
      </c>
      <c r="J10" s="14">
        <f>D10+E10+G10+H10</f>
        <v>149</v>
      </c>
      <c r="K10" s="14">
        <f>AVERAGE(J7:J10)</f>
        <v>462.7</v>
      </c>
      <c r="L10" s="14">
        <f>-(I10-H10-D10)+L9</f>
        <v>-892.3</v>
      </c>
    </row>
    <row r="11" ht="21.2" customHeight="1">
      <c r="B11" s="24"/>
      <c r="C11" s="13">
        <v>1623.4</v>
      </c>
      <c r="D11" s="14">
        <v>-3</v>
      </c>
      <c r="E11" s="14">
        <v>294.4</v>
      </c>
      <c r="F11" s="14">
        <v>-81.75</v>
      </c>
      <c r="G11" s="14">
        <v>796.1</v>
      </c>
      <c r="H11" s="14">
        <v>1</v>
      </c>
      <c r="I11" s="14">
        <v>207.7</v>
      </c>
      <c r="J11" s="14">
        <f>D11+E11+G11+H11</f>
        <v>1088.5</v>
      </c>
      <c r="K11" s="14">
        <f>AVERAGE(J8:J11)</f>
        <v>633.825</v>
      </c>
      <c r="L11" s="14">
        <f>-(I11-H11-D11)+L10</f>
        <v>-1102</v>
      </c>
    </row>
    <row r="12" ht="21.2" customHeight="1">
      <c r="B12" s="25">
        <v>2018</v>
      </c>
      <c r="C12" s="13">
        <v>1765.6</v>
      </c>
      <c r="D12" s="14">
        <v>-6</v>
      </c>
      <c r="E12" s="14">
        <v>91.2</v>
      </c>
      <c r="F12" s="14">
        <v>-153</v>
      </c>
      <c r="G12" s="14">
        <v>-213.5</v>
      </c>
      <c r="H12" s="14">
        <v>-0.7</v>
      </c>
      <c r="I12" s="14">
        <v>-10</v>
      </c>
      <c r="J12" s="14">
        <f>D12+E12+G12+H12</f>
        <v>-129</v>
      </c>
      <c r="K12" s="14">
        <f>AVERAGE(J9:J12)</f>
        <v>352.7</v>
      </c>
      <c r="L12" s="14">
        <f>-(I12-H12-D12)+L11</f>
        <v>-1098.7</v>
      </c>
    </row>
    <row r="13" ht="21.2" customHeight="1">
      <c r="B13" s="24"/>
      <c r="C13" s="13">
        <v>1965.8</v>
      </c>
      <c r="D13" s="14">
        <v>-2.6</v>
      </c>
      <c r="E13" s="14">
        <v>-163.1</v>
      </c>
      <c r="F13" s="14">
        <v>-153</v>
      </c>
      <c r="G13" s="14">
        <v>-896.8</v>
      </c>
      <c r="H13" s="14">
        <v>-0.9</v>
      </c>
      <c r="I13" s="14">
        <v>63</v>
      </c>
      <c r="J13" s="14">
        <f>D13+E13+G13+H13</f>
        <v>-1063.4</v>
      </c>
      <c r="K13" s="14">
        <f>AVERAGE(J10:J13)</f>
        <v>11.275</v>
      </c>
      <c r="L13" s="14">
        <f>-(I13-H13-D13)+L12</f>
        <v>-1165.2</v>
      </c>
    </row>
    <row r="14" ht="21.2" customHeight="1">
      <c r="B14" s="24"/>
      <c r="C14" s="13">
        <v>2739.6</v>
      </c>
      <c r="D14" s="14">
        <v>-5.4</v>
      </c>
      <c r="E14" s="14">
        <v>556.8</v>
      </c>
      <c r="F14" s="14">
        <v>-153</v>
      </c>
      <c r="G14" s="14">
        <v>-181.7</v>
      </c>
      <c r="H14" s="14">
        <v>-0.8</v>
      </c>
      <c r="I14" s="14">
        <v>-358.1</v>
      </c>
      <c r="J14" s="14">
        <f>D14+E14+G14+H14</f>
        <v>368.9</v>
      </c>
      <c r="K14" s="14">
        <f>AVERAGE(J11:J14)</f>
        <v>66.25</v>
      </c>
      <c r="L14" s="14">
        <f>-(I14-H14-D14)+L13</f>
        <v>-813.3</v>
      </c>
    </row>
    <row r="15" ht="21.2" customHeight="1">
      <c r="B15" s="24"/>
      <c r="C15" s="13">
        <v>2613</v>
      </c>
      <c r="D15" s="14">
        <v>-4.1</v>
      </c>
      <c r="E15" s="14">
        <v>291.1</v>
      </c>
      <c r="F15" s="14">
        <v>-153</v>
      </c>
      <c r="G15" s="14">
        <v>-1940.7</v>
      </c>
      <c r="H15" s="14">
        <v>-1</v>
      </c>
      <c r="I15" s="14">
        <v>-80.09999999999999</v>
      </c>
      <c r="J15" s="14">
        <f>D15+E15+G15+H15</f>
        <v>-1654.7</v>
      </c>
      <c r="K15" s="14">
        <f>AVERAGE(J12:J15)</f>
        <v>-619.55</v>
      </c>
      <c r="L15" s="14">
        <f>-(I15-H15-D15)+L14</f>
        <v>-738.3</v>
      </c>
    </row>
    <row r="16" ht="21.2" customHeight="1">
      <c r="B16" s="25">
        <v>2019</v>
      </c>
      <c r="C16" s="13">
        <v>2468.9</v>
      </c>
      <c r="D16" s="14">
        <v>-3.9</v>
      </c>
      <c r="E16" s="14">
        <v>-120.6</v>
      </c>
      <c r="F16" s="14">
        <v>-83.8</v>
      </c>
      <c r="G16" s="14">
        <v>69.59999999999999</v>
      </c>
      <c r="H16" s="14">
        <v>-0.6</v>
      </c>
      <c r="I16" s="14">
        <v>-78.59999999999999</v>
      </c>
      <c r="J16" s="14">
        <f>D16+E16+G16+H16</f>
        <v>-55.5</v>
      </c>
      <c r="K16" s="14">
        <f>AVERAGE(J13:J16)</f>
        <v>-601.175</v>
      </c>
      <c r="L16" s="14">
        <f>-(I16-H16-D16)+L15</f>
        <v>-664.2</v>
      </c>
    </row>
    <row r="17" ht="21.2" customHeight="1">
      <c r="B17" s="24"/>
      <c r="C17" s="13">
        <v>2461.2</v>
      </c>
      <c r="D17" s="14">
        <v>-2.5</v>
      </c>
      <c r="E17" s="14">
        <v>-815.7</v>
      </c>
      <c r="F17" s="14">
        <v>-97.3</v>
      </c>
      <c r="G17" s="14">
        <v>-190.9</v>
      </c>
      <c r="H17" s="14">
        <v>-0.6</v>
      </c>
      <c r="I17" s="14">
        <v>-216.9</v>
      </c>
      <c r="J17" s="14">
        <f>D17+E17+G17+H17</f>
        <v>-1009.7</v>
      </c>
      <c r="K17" s="14">
        <f>AVERAGE(J14:J17)</f>
        <v>-587.75</v>
      </c>
      <c r="L17" s="14">
        <f>-(I17-H17-D17)+L16</f>
        <v>-450.4</v>
      </c>
    </row>
    <row r="18" ht="21.2" customHeight="1">
      <c r="B18" s="24"/>
      <c r="C18" s="13">
        <v>2843.8</v>
      </c>
      <c r="D18" s="14">
        <v>1.7</v>
      </c>
      <c r="E18" s="14">
        <v>-130.2</v>
      </c>
      <c r="F18" s="14">
        <v>-525.6</v>
      </c>
      <c r="G18" s="14">
        <v>-590.4</v>
      </c>
      <c r="H18" s="14">
        <v>-1.5</v>
      </c>
      <c r="I18" s="14">
        <v>791</v>
      </c>
      <c r="J18" s="14">
        <f>D18+E18+G18+H18</f>
        <v>-720.4</v>
      </c>
      <c r="K18" s="14">
        <f>AVERAGE(J15:J18)</f>
        <v>-860.075</v>
      </c>
      <c r="L18" s="14">
        <f>-(I18-H18-D18)+L17</f>
        <v>-1241.2</v>
      </c>
    </row>
    <row r="19" ht="21.2" customHeight="1">
      <c r="B19" s="24"/>
      <c r="C19" s="13">
        <v>3164.4</v>
      </c>
      <c r="D19" s="14">
        <v>-10.2</v>
      </c>
      <c r="E19" s="14">
        <v>-535.6</v>
      </c>
      <c r="F19" s="14">
        <v>-121</v>
      </c>
      <c r="G19" s="14">
        <v>-49.7</v>
      </c>
      <c r="H19" s="14">
        <v>-0.3</v>
      </c>
      <c r="I19" s="14">
        <v>637.5</v>
      </c>
      <c r="J19" s="14">
        <f>D19+E19+G19+H19</f>
        <v>-595.8</v>
      </c>
      <c r="K19" s="14">
        <f>AVERAGE(J16:J19)</f>
        <v>-595.35</v>
      </c>
      <c r="L19" s="14">
        <f>-(I19-H19-D19)+L18</f>
        <v>-1889.2</v>
      </c>
    </row>
    <row r="20" ht="21.2" customHeight="1">
      <c r="B20" s="25">
        <v>2020</v>
      </c>
      <c r="C20" s="13">
        <v>2541.5</v>
      </c>
      <c r="D20" s="14">
        <v>-3</v>
      </c>
      <c r="E20" s="14">
        <v>42.1</v>
      </c>
      <c r="F20" s="14">
        <v>-56.7</v>
      </c>
      <c r="G20" s="14">
        <v>-82.7</v>
      </c>
      <c r="H20" s="14">
        <v>-0.3</v>
      </c>
      <c r="I20" s="14">
        <v>607</v>
      </c>
      <c r="J20" s="14">
        <f>D20+E20+G20+H20</f>
        <v>-43.9</v>
      </c>
      <c r="K20" s="14">
        <f>AVERAGE(J17:J20)</f>
        <v>-592.45</v>
      </c>
      <c r="L20" s="14">
        <f>-(I20-H20-D20)+L19</f>
        <v>-2499.5</v>
      </c>
    </row>
    <row r="21" ht="21.2" customHeight="1">
      <c r="B21" s="24"/>
      <c r="C21" s="13">
        <v>2893.3</v>
      </c>
      <c r="D21" s="14">
        <v>-14.8</v>
      </c>
      <c r="E21" s="14">
        <v>-108.9</v>
      </c>
      <c r="F21" s="14">
        <v>-47.9</v>
      </c>
      <c r="G21" s="14">
        <v>-228.7</v>
      </c>
      <c r="H21" s="14">
        <v>-0.2</v>
      </c>
      <c r="I21" s="14">
        <v>-371.2</v>
      </c>
      <c r="J21" s="14">
        <f>D21+E21+G21+H21</f>
        <v>-352.6</v>
      </c>
      <c r="K21" s="14">
        <f>AVERAGE(J18:J21)</f>
        <v>-428.175</v>
      </c>
      <c r="L21" s="14">
        <f>-(I21-H21-D21)+L20</f>
        <v>-2143.3</v>
      </c>
    </row>
    <row r="22" ht="21.2" customHeight="1">
      <c r="B22" s="24"/>
      <c r="C22" s="13">
        <v>3204.7</v>
      </c>
      <c r="D22" s="14">
        <v>10.9</v>
      </c>
      <c r="E22" s="14">
        <v>228.4</v>
      </c>
      <c r="F22" s="14">
        <v>-54.1</v>
      </c>
      <c r="G22" s="14">
        <v>901.7</v>
      </c>
      <c r="H22" s="14">
        <v>-0.3</v>
      </c>
      <c r="I22" s="14">
        <v>-202.2</v>
      </c>
      <c r="J22" s="14">
        <f>D22+E22+G22+H22</f>
        <v>1140.7</v>
      </c>
      <c r="K22" s="14">
        <f>AVERAGE(J19:J22)</f>
        <v>37.1</v>
      </c>
      <c r="L22" s="14">
        <f>-(I22-H22-D22)+L21</f>
        <v>-1930.5</v>
      </c>
    </row>
    <row r="23" ht="21.2" customHeight="1">
      <c r="B23" s="24"/>
      <c r="C23" s="13">
        <f>12121.8-SUM(C20:C22)</f>
        <v>3482.3</v>
      </c>
      <c r="D23" s="14">
        <f>-44.1-SUM(D20:D22)</f>
        <v>-37.2</v>
      </c>
      <c r="E23" s="14">
        <f>1812.8-SUM(E20:E22)</f>
        <v>1651.2</v>
      </c>
      <c r="F23" s="14">
        <v>-91.8</v>
      </c>
      <c r="G23" s="14">
        <f>-190.7-SUM(G20:G22)</f>
        <v>-781</v>
      </c>
      <c r="H23" s="14">
        <f>-1.8-SUM(H20:H22)</f>
        <v>-1</v>
      </c>
      <c r="I23" s="14">
        <f>-1857.3-SUM(I20:I22)</f>
        <v>-1890.9</v>
      </c>
      <c r="J23" s="14">
        <f>D23+E23+G23+H23</f>
        <v>832</v>
      </c>
      <c r="K23" s="14">
        <f>AVERAGE(J20:J23)</f>
        <v>394.05</v>
      </c>
      <c r="L23" s="14">
        <f>-(I23-H23-D23)+L22</f>
        <v>-77.8</v>
      </c>
    </row>
    <row r="24" ht="21.2" customHeight="1">
      <c r="B24" s="25">
        <v>2021</v>
      </c>
      <c r="C24" s="13">
        <v>3084.6</v>
      </c>
      <c r="D24" s="14">
        <v>-38</v>
      </c>
      <c r="E24" s="14">
        <v>472.8</v>
      </c>
      <c r="F24" s="14">
        <v>-68.2</v>
      </c>
      <c r="G24" s="14">
        <v>-391.3</v>
      </c>
      <c r="H24" s="14">
        <v>-2</v>
      </c>
      <c r="I24" s="14">
        <f>9307.3</f>
        <v>9307.299999999999</v>
      </c>
      <c r="J24" s="14">
        <f>D24+E24+G24+H24</f>
        <v>41.5</v>
      </c>
      <c r="K24" s="14">
        <f>AVERAGE(J21:J24)</f>
        <v>415.4</v>
      </c>
      <c r="L24" s="14">
        <f>-(I24-H24-D24)+L23</f>
        <v>-9425.1</v>
      </c>
    </row>
    <row r="25" ht="21.2" customHeight="1">
      <c r="B25" s="24"/>
      <c r="C25" s="13">
        <f>6293.1-C24</f>
        <v>3208.5</v>
      </c>
      <c r="D25" s="14">
        <f>-114-D24</f>
        <v>-76</v>
      </c>
      <c r="E25" s="14">
        <f>635.2-E24</f>
        <v>162.4</v>
      </c>
      <c r="F25" s="14">
        <v>-82.90000000000001</v>
      </c>
      <c r="G25" s="14">
        <f>-3013.7-G24</f>
        <v>-2622.4</v>
      </c>
      <c r="H25" s="14">
        <f>-4.2-H24</f>
        <v>-2.2</v>
      </c>
      <c r="I25" s="14">
        <f>8058.1-I24</f>
        <v>-1249.2</v>
      </c>
      <c r="J25" s="14">
        <f>D25+E25+G25+H25</f>
        <v>-2538.2</v>
      </c>
      <c r="K25" s="14">
        <f>AVERAGE(J22:J25)</f>
        <v>-131</v>
      </c>
      <c r="L25" s="14">
        <f>-(I25-H25-D25)+L24</f>
        <v>-8254.1</v>
      </c>
    </row>
    <row r="26" ht="21.2" customHeight="1">
      <c r="B26" s="24"/>
      <c r="C26" s="13">
        <f>9483-SUM(C24:C25)</f>
        <v>3189.9</v>
      </c>
      <c r="D26" s="14">
        <f>-125.9-SUM(D24:D25)</f>
        <v>-11.9</v>
      </c>
      <c r="E26" s="14">
        <f>1194.5-SUM(E24:E25)</f>
        <v>559.3</v>
      </c>
      <c r="F26" s="14">
        <f>-227.3-SUM(F24:F25)</f>
        <v>-76.2</v>
      </c>
      <c r="G26" s="14">
        <f>-7403.6-SUM(G24:G25)</f>
        <v>-4389.9</v>
      </c>
      <c r="H26" s="14">
        <f>-6.6-SUM(H24:H25)</f>
        <v>-2.4</v>
      </c>
      <c r="I26" s="14">
        <f>9384.1-SUM(I24:I25)</f>
        <v>1326</v>
      </c>
      <c r="J26" s="14">
        <f>D26+E26+G26+H26</f>
        <v>-3844.9</v>
      </c>
      <c r="K26" s="14">
        <f>AVERAGE(J23:J26)</f>
        <v>-1377.4</v>
      </c>
      <c r="L26" s="14">
        <f>-(I26-H26-D26)+L25</f>
        <v>-9594.4</v>
      </c>
    </row>
    <row r="27" ht="21.2" customHeight="1">
      <c r="B27" s="24"/>
      <c r="C27" s="13"/>
      <c r="D27" s="14"/>
      <c r="E27" s="14"/>
      <c r="F27" s="14"/>
      <c r="G27" s="14"/>
      <c r="H27" s="14"/>
      <c r="I27" s="14"/>
      <c r="J27" s="14"/>
      <c r="K27" s="14">
        <f>SUM('Model'!F9:F11)</f>
        <v>436.11687725</v>
      </c>
      <c r="L27" s="14">
        <f>'Model'!F34</f>
        <v>-7004.541371825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29" customWidth="1"/>
    <col min="2" max="12" width="9.21875" style="29" customWidth="1"/>
    <col min="13" max="16384" width="16.3516" style="29" customWidth="1"/>
  </cols>
  <sheetData>
    <row r="1" ht="7.5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20">
        <v>1</v>
      </c>
      <c r="C3" t="s" s="20">
        <v>52</v>
      </c>
      <c r="D3" t="s" s="20">
        <v>53</v>
      </c>
      <c r="E3" t="s" s="20">
        <v>23</v>
      </c>
      <c r="F3" t="s" s="20">
        <v>24</v>
      </c>
      <c r="G3" t="s" s="20">
        <v>54</v>
      </c>
      <c r="H3" t="s" s="20">
        <v>12</v>
      </c>
      <c r="I3" t="s" s="20">
        <v>13</v>
      </c>
      <c r="J3" t="s" s="20">
        <v>55</v>
      </c>
      <c r="K3" t="s" s="20">
        <v>56</v>
      </c>
      <c r="L3" t="s" s="20">
        <v>36</v>
      </c>
    </row>
    <row r="4" ht="20.25" customHeight="1">
      <c r="B4" s="21">
        <v>2016</v>
      </c>
      <c r="C4" s="22">
        <v>7643</v>
      </c>
      <c r="D4" s="23">
        <v>17515</v>
      </c>
      <c r="E4" s="23">
        <f>D4-C4</f>
        <v>9872</v>
      </c>
      <c r="F4" s="23">
        <f>2099+375</f>
        <v>2474</v>
      </c>
      <c r="G4" s="23">
        <v>3</v>
      </c>
      <c r="H4" s="23">
        <v>2173</v>
      </c>
      <c r="I4" s="23">
        <v>15342</v>
      </c>
      <c r="J4" s="23">
        <f>H4+I4-C4-E4</f>
        <v>0</v>
      </c>
      <c r="K4" s="23">
        <f>C4-H4</f>
        <v>5470</v>
      </c>
      <c r="L4" s="23"/>
    </row>
    <row r="5" ht="20.05" customHeight="1">
      <c r="B5" s="24"/>
      <c r="C5" s="13">
        <v>7340</v>
      </c>
      <c r="D5" s="14">
        <v>20290</v>
      </c>
      <c r="E5" s="14">
        <f>D5-C5</f>
        <v>12950</v>
      </c>
      <c r="F5" s="14">
        <f>2176+395</f>
        <v>2571</v>
      </c>
      <c r="G5" s="14">
        <v>3</v>
      </c>
      <c r="H5" s="14">
        <v>4551</v>
      </c>
      <c r="I5" s="14">
        <v>15739</v>
      </c>
      <c r="J5" s="14">
        <f>H5+I5-C5-E5</f>
        <v>0</v>
      </c>
      <c r="K5" s="14">
        <f>C5-H5</f>
        <v>2789</v>
      </c>
      <c r="L5" s="14"/>
    </row>
    <row r="6" ht="20.05" customHeight="1">
      <c r="B6" s="24"/>
      <c r="C6" s="13">
        <v>3176</v>
      </c>
      <c r="D6" s="14">
        <v>20965</v>
      </c>
      <c r="E6" s="14">
        <f>D6-C6</f>
        <v>17789</v>
      </c>
      <c r="F6" s="14">
        <f>415+2286</f>
        <v>2701</v>
      </c>
      <c r="G6" s="14">
        <v>2</v>
      </c>
      <c r="H6" s="14">
        <v>4845</v>
      </c>
      <c r="I6" s="14">
        <v>16120</v>
      </c>
      <c r="J6" s="14">
        <f>H6+I6-C6-E6</f>
        <v>0</v>
      </c>
      <c r="K6" s="14">
        <f>C6-H6</f>
        <v>-1669</v>
      </c>
      <c r="L6" s="14"/>
    </row>
    <row r="7" ht="20.05" customHeight="1">
      <c r="B7" s="24"/>
      <c r="C7" s="13">
        <v>2915</v>
      </c>
      <c r="D7" s="14">
        <v>20376</v>
      </c>
      <c r="E7" s="14">
        <f>D7-C7</f>
        <v>17461</v>
      </c>
      <c r="F7" s="14">
        <f>2371+501</f>
        <v>2872</v>
      </c>
      <c r="G7" s="14">
        <v>2</v>
      </c>
      <c r="H7" s="14">
        <v>4570</v>
      </c>
      <c r="I7" s="14">
        <v>15806</v>
      </c>
      <c r="J7" s="14">
        <f>H7+I7-C7-E7</f>
        <v>0</v>
      </c>
      <c r="K7" s="14">
        <f>C7-H7</f>
        <v>-1655</v>
      </c>
      <c r="L7" s="14"/>
    </row>
    <row r="8" ht="20.05" customHeight="1">
      <c r="B8" s="25">
        <v>2017</v>
      </c>
      <c r="C8" s="13">
        <v>3836</v>
      </c>
      <c r="D8" s="14">
        <v>20654</v>
      </c>
      <c r="E8" s="14">
        <f>D8-C8</f>
        <v>16818</v>
      </c>
      <c r="F8" s="14">
        <f>2517+488</f>
        <v>3005</v>
      </c>
      <c r="G8" s="14">
        <v>6</v>
      </c>
      <c r="H8" s="14">
        <v>4722</v>
      </c>
      <c r="I8" s="14">
        <v>15932</v>
      </c>
      <c r="J8" s="14">
        <f>H8+I8-C8-E8</f>
        <v>0</v>
      </c>
      <c r="K8" s="14">
        <f>C8-H8</f>
        <v>-886</v>
      </c>
      <c r="L8" s="14"/>
    </row>
    <row r="9" ht="20.05" customHeight="1">
      <c r="B9" s="24"/>
      <c r="C9" s="13">
        <v>5298</v>
      </c>
      <c r="D9" s="14">
        <v>22327</v>
      </c>
      <c r="E9" s="14">
        <f>D9-C9</f>
        <v>17029</v>
      </c>
      <c r="F9" s="14">
        <f>2265+617</f>
        <v>2882</v>
      </c>
      <c r="G9" s="14">
        <v>5</v>
      </c>
      <c r="H9" s="14">
        <v>4910</v>
      </c>
      <c r="I9" s="14">
        <v>17417</v>
      </c>
      <c r="J9" s="14">
        <f>H9+I9-C9-E9</f>
        <v>0</v>
      </c>
      <c r="K9" s="14">
        <f>C9-H9</f>
        <v>388</v>
      </c>
      <c r="L9" s="14"/>
    </row>
    <row r="10" ht="20.05" customHeight="1">
      <c r="B10" s="24"/>
      <c r="C10" s="13">
        <v>5836</v>
      </c>
      <c r="D10" s="14">
        <v>22058</v>
      </c>
      <c r="E10" s="14">
        <f>D10-C10</f>
        <v>16222</v>
      </c>
      <c r="F10" s="14">
        <f>2342.9+669.7</f>
        <v>3012.6</v>
      </c>
      <c r="G10" s="14">
        <v>4</v>
      </c>
      <c r="H10" s="14">
        <v>4268</v>
      </c>
      <c r="I10" s="14">
        <v>17790</v>
      </c>
      <c r="J10" s="14">
        <f>H10+I10-C10-E10</f>
        <v>0</v>
      </c>
      <c r="K10" s="14">
        <f>C10-H10</f>
        <v>1568</v>
      </c>
      <c r="L10" s="14"/>
    </row>
    <row r="11" ht="20.05" customHeight="1">
      <c r="B11" s="24"/>
      <c r="C11" s="13">
        <v>7140</v>
      </c>
      <c r="D11" s="14">
        <v>22210</v>
      </c>
      <c r="E11" s="14">
        <f>D11-C11</f>
        <v>15070</v>
      </c>
      <c r="F11" s="14">
        <f>2242+755</f>
        <v>2997</v>
      </c>
      <c r="G11" s="14">
        <v>6</v>
      </c>
      <c r="H11" s="14">
        <v>4359</v>
      </c>
      <c r="I11" s="14">
        <v>17851</v>
      </c>
      <c r="J11" s="14">
        <f>H11+I11-C11-E11</f>
        <v>0</v>
      </c>
      <c r="K11" s="14">
        <f>C11-H11</f>
        <v>2781</v>
      </c>
      <c r="L11" s="14"/>
    </row>
    <row r="12" ht="20.05" customHeight="1">
      <c r="B12" s="25">
        <v>2018</v>
      </c>
      <c r="C12" s="13">
        <v>7152</v>
      </c>
      <c r="D12" s="14">
        <v>22547</v>
      </c>
      <c r="E12" s="14">
        <f>D12-C12</f>
        <v>15395</v>
      </c>
      <c r="F12" s="14">
        <f>2312+808</f>
        <v>3120</v>
      </c>
      <c r="G12" s="14">
        <v>5</v>
      </c>
      <c r="H12" s="14">
        <v>4677</v>
      </c>
      <c r="I12" s="14">
        <v>17870</v>
      </c>
      <c r="J12" s="14">
        <f>H12+I12-C12-E12</f>
        <v>0</v>
      </c>
      <c r="K12" s="14">
        <f>C12-H12</f>
        <v>2475</v>
      </c>
      <c r="L12" s="14"/>
    </row>
    <row r="13" ht="20.05" customHeight="1">
      <c r="B13" s="24"/>
      <c r="C13" s="13">
        <v>6355</v>
      </c>
      <c r="D13" s="14">
        <v>22255</v>
      </c>
      <c r="E13" s="14">
        <f>D13-C13</f>
        <v>15900</v>
      </c>
      <c r="F13" s="14">
        <f>2376+862</f>
        <v>3238</v>
      </c>
      <c r="G13" s="14">
        <v>5</v>
      </c>
      <c r="H13" s="14">
        <v>4649</v>
      </c>
      <c r="I13" s="14">
        <v>17606</v>
      </c>
      <c r="J13" s="14">
        <f>H13+I13-C13-E13</f>
        <v>0</v>
      </c>
      <c r="K13" s="14">
        <f>C13-H13</f>
        <v>1706</v>
      </c>
      <c r="L13" s="14"/>
    </row>
    <row r="14" ht="20.05" customHeight="1">
      <c r="B14" s="24"/>
      <c r="C14" s="13">
        <v>6513</v>
      </c>
      <c r="D14" s="14">
        <v>22242</v>
      </c>
      <c r="E14" s="14">
        <f>D14-C14</f>
        <v>15729</v>
      </c>
      <c r="F14" s="14">
        <f>2425+918</f>
        <v>3343</v>
      </c>
      <c r="G14" s="14">
        <v>3</v>
      </c>
      <c r="H14" s="14">
        <v>4613</v>
      </c>
      <c r="I14" s="14">
        <v>17629</v>
      </c>
      <c r="J14" s="14">
        <f>H14+I14-C14-E14</f>
        <v>0</v>
      </c>
      <c r="K14" s="14">
        <f>C14-H14</f>
        <v>1900</v>
      </c>
      <c r="L14" s="14"/>
    </row>
    <row r="15" ht="20.05" customHeight="1">
      <c r="B15" s="24"/>
      <c r="C15" s="13">
        <v>4624</v>
      </c>
      <c r="D15" s="14">
        <v>19525</v>
      </c>
      <c r="E15" s="14">
        <f>D15-C15</f>
        <v>14901</v>
      </c>
      <c r="F15" s="14">
        <f>1020+2496</f>
        <v>3516</v>
      </c>
      <c r="G15" s="14">
        <v>3</v>
      </c>
      <c r="H15" s="14">
        <v>4061</v>
      </c>
      <c r="I15" s="14">
        <v>15464</v>
      </c>
      <c r="J15" s="14">
        <f>H15+I15-C15-E15</f>
        <v>0</v>
      </c>
      <c r="K15" s="14">
        <f>C15-H15</f>
        <v>563</v>
      </c>
      <c r="L15" s="14"/>
    </row>
    <row r="16" ht="20.05" customHeight="1">
      <c r="B16" s="25">
        <v>2019</v>
      </c>
      <c r="C16" s="13">
        <v>4459</v>
      </c>
      <c r="D16" s="14">
        <v>19427</v>
      </c>
      <c r="E16" s="14">
        <f>D16-C16</f>
        <v>14968</v>
      </c>
      <c r="F16" s="14">
        <f>2569+1075</f>
        <v>3644</v>
      </c>
      <c r="G16" s="14">
        <v>3</v>
      </c>
      <c r="H16" s="14">
        <v>4195</v>
      </c>
      <c r="I16" s="14">
        <v>15232</v>
      </c>
      <c r="J16" s="14">
        <f>H16+I16-C16-E16</f>
        <v>0</v>
      </c>
      <c r="K16" s="14">
        <f>C16-H16</f>
        <v>264</v>
      </c>
      <c r="L16" s="14"/>
    </row>
    <row r="17" ht="20.05" customHeight="1">
      <c r="B17" s="24"/>
      <c r="C17" s="13">
        <v>3238</v>
      </c>
      <c r="D17" s="14">
        <v>17922</v>
      </c>
      <c r="E17" s="14">
        <f>D17-C17</f>
        <v>14684</v>
      </c>
      <c r="F17" s="14">
        <f>2613+1118</f>
        <v>3731</v>
      </c>
      <c r="G17" s="14">
        <v>2</v>
      </c>
      <c r="H17" s="14">
        <v>3796</v>
      </c>
      <c r="I17" s="14">
        <v>14126</v>
      </c>
      <c r="J17" s="14">
        <f>H17+I17-C17-E17</f>
        <v>0</v>
      </c>
      <c r="K17" s="14">
        <f>C17-H17</f>
        <v>-558</v>
      </c>
      <c r="L17" s="14"/>
    </row>
    <row r="18" ht="20.05" customHeight="1">
      <c r="B18" s="24"/>
      <c r="C18" s="13">
        <v>3300</v>
      </c>
      <c r="D18" s="14">
        <v>18237</v>
      </c>
      <c r="E18" s="14">
        <f>D18-C18</f>
        <v>14937</v>
      </c>
      <c r="F18" s="14">
        <f>2536+1138</f>
        <v>3674</v>
      </c>
      <c r="G18" s="14">
        <v>2</v>
      </c>
      <c r="H18" s="14">
        <v>4642</v>
      </c>
      <c r="I18" s="14">
        <v>13595</v>
      </c>
      <c r="J18" s="14">
        <f>H18+I18-C18-E18</f>
        <v>0</v>
      </c>
      <c r="K18" s="14">
        <f>C18-H18</f>
        <v>-1342</v>
      </c>
      <c r="L18" s="14"/>
    </row>
    <row r="19" ht="20.05" customHeight="1">
      <c r="B19" s="24"/>
      <c r="C19" s="13">
        <v>3315</v>
      </c>
      <c r="D19" s="14">
        <v>17541</v>
      </c>
      <c r="E19" s="14">
        <f>D19-C19</f>
        <v>14226</v>
      </c>
      <c r="F19" s="14">
        <f>2515+811</f>
        <v>3326</v>
      </c>
      <c r="G19" s="14">
        <v>2</v>
      </c>
      <c r="H19" s="14">
        <v>5276</v>
      </c>
      <c r="I19" s="14">
        <v>12265</v>
      </c>
      <c r="J19" s="14">
        <f>H19+I19-C19-E19</f>
        <v>0</v>
      </c>
      <c r="K19" s="14">
        <f>C19-H19</f>
        <v>-1961</v>
      </c>
      <c r="L19" s="14"/>
    </row>
    <row r="20" ht="20.05" customHeight="1">
      <c r="B20" s="25">
        <v>2020</v>
      </c>
      <c r="C20" s="13">
        <v>4217</v>
      </c>
      <c r="D20" s="14">
        <v>18538</v>
      </c>
      <c r="E20" s="14">
        <f>D20-C20</f>
        <v>14321</v>
      </c>
      <c r="F20" s="14">
        <f>2596+831</f>
        <v>3427</v>
      </c>
      <c r="G20" s="14">
        <v>2</v>
      </c>
      <c r="H20" s="14">
        <v>6664</v>
      </c>
      <c r="I20" s="14">
        <v>11874</v>
      </c>
      <c r="J20" s="14">
        <f>H20+I20-C20-E20</f>
        <v>0</v>
      </c>
      <c r="K20" s="14">
        <f>C20-H20</f>
        <v>-2447</v>
      </c>
      <c r="L20" s="14"/>
    </row>
    <row r="21" ht="20.05" customHeight="1">
      <c r="B21" s="24"/>
      <c r="C21" s="13">
        <v>3247</v>
      </c>
      <c r="D21" s="14">
        <v>17336</v>
      </c>
      <c r="E21" s="14">
        <f>D21-C21</f>
        <v>14089</v>
      </c>
      <c r="F21" s="14">
        <f>2678+851</f>
        <v>3529</v>
      </c>
      <c r="G21" s="14">
        <v>2</v>
      </c>
      <c r="H21" s="14">
        <v>6193</v>
      </c>
      <c r="I21" s="14">
        <v>11143</v>
      </c>
      <c r="J21" s="14">
        <f>H21+I21-C21-E21</f>
        <v>0</v>
      </c>
      <c r="K21" s="14">
        <f>C21-H21</f>
        <v>-2946</v>
      </c>
      <c r="L21" s="14"/>
    </row>
    <row r="22" ht="20.05" customHeight="1">
      <c r="B22" s="24"/>
      <c r="C22" s="13">
        <v>4229</v>
      </c>
      <c r="D22" s="14">
        <v>17636</v>
      </c>
      <c r="E22" s="14">
        <f>D22-C22</f>
        <v>13407</v>
      </c>
      <c r="F22" s="14">
        <f>2755+871</f>
        <v>3626</v>
      </c>
      <c r="G22" s="14">
        <v>2</v>
      </c>
      <c r="H22" s="14">
        <v>6332</v>
      </c>
      <c r="I22" s="14">
        <v>11304</v>
      </c>
      <c r="J22" s="14">
        <f>H22+I22-C22-E22</f>
        <v>0</v>
      </c>
      <c r="K22" s="14">
        <f>C22-H22</f>
        <v>-2103</v>
      </c>
      <c r="L22" s="14"/>
    </row>
    <row r="23" ht="20.05" customHeight="1">
      <c r="B23" s="24"/>
      <c r="C23" s="13">
        <v>2695</v>
      </c>
      <c r="D23" s="14">
        <v>17884</v>
      </c>
      <c r="E23" s="14">
        <f>D23-C23</f>
        <v>15189</v>
      </c>
      <c r="F23" s="14">
        <f>12+3315+937</f>
        <v>4264</v>
      </c>
      <c r="G23" s="14">
        <f>8+13</f>
        <v>21</v>
      </c>
      <c r="H23" s="14">
        <v>5485</v>
      </c>
      <c r="I23" s="14">
        <v>12399</v>
      </c>
      <c r="J23" s="14">
        <f>H23+I23-C23-E23</f>
        <v>0</v>
      </c>
      <c r="K23" s="14">
        <f>C23-H23</f>
        <v>-2790</v>
      </c>
      <c r="L23" s="30"/>
    </row>
    <row r="24" ht="20.05" customHeight="1">
      <c r="B24" s="25">
        <v>2021</v>
      </c>
      <c r="C24" s="13">
        <v>12173</v>
      </c>
      <c r="D24" s="14">
        <v>27582</v>
      </c>
      <c r="E24" s="14">
        <f>D24-C24</f>
        <v>15409</v>
      </c>
      <c r="F24" s="14">
        <f>15+3392+957</f>
        <v>4364</v>
      </c>
      <c r="G24" s="14">
        <f>8+12</f>
        <v>20</v>
      </c>
      <c r="H24" s="14">
        <v>5236</v>
      </c>
      <c r="I24" s="14">
        <v>22346</v>
      </c>
      <c r="J24" s="14">
        <f>H24+I24-C24-E24</f>
        <v>0</v>
      </c>
      <c r="K24" s="14">
        <f>C24-H24</f>
        <v>6937</v>
      </c>
      <c r="L24" s="14"/>
    </row>
    <row r="25" ht="20.05" customHeight="1">
      <c r="B25" s="24"/>
      <c r="C25" s="13">
        <v>8430</v>
      </c>
      <c r="D25" s="14">
        <v>25885</v>
      </c>
      <c r="E25" s="14">
        <f>D25-C25</f>
        <v>17455</v>
      </c>
      <c r="F25" s="14">
        <f>17+3486+977</f>
        <v>4480</v>
      </c>
      <c r="G25" s="14">
        <f>7+11</f>
        <v>18</v>
      </c>
      <c r="H25" s="14">
        <v>3286</v>
      </c>
      <c r="I25" s="14">
        <v>22599</v>
      </c>
      <c r="J25" s="14">
        <f>H25+I25-C25-E25</f>
        <v>0</v>
      </c>
      <c r="K25" s="14">
        <f>C25-H25</f>
        <v>5144</v>
      </c>
      <c r="L25" s="14"/>
    </row>
    <row r="26" ht="20.05" customHeight="1">
      <c r="B26" s="24"/>
      <c r="C26" s="13">
        <v>5885</v>
      </c>
      <c r="D26" s="14">
        <v>27206</v>
      </c>
      <c r="E26" s="14">
        <f>D26-C26</f>
        <v>21321</v>
      </c>
      <c r="F26" s="14">
        <f>F25+'Sales'!E25</f>
        <v>4533.7</v>
      </c>
      <c r="G26" s="14">
        <f>7+9</f>
        <v>16</v>
      </c>
      <c r="H26" s="14">
        <v>2934</v>
      </c>
      <c r="I26" s="14">
        <v>24272</v>
      </c>
      <c r="J26" s="14">
        <f>H26+I26-C26-E26</f>
        <v>0</v>
      </c>
      <c r="K26" s="14">
        <f>C26-H26</f>
        <v>2951</v>
      </c>
      <c r="L26" s="14">
        <f>K26</f>
        <v>2951</v>
      </c>
    </row>
    <row r="27" ht="20.05" customHeight="1">
      <c r="B27" s="24"/>
      <c r="C27" s="13"/>
      <c r="D27" s="14"/>
      <c r="E27" s="14"/>
      <c r="F27" s="14"/>
      <c r="G27" s="14"/>
      <c r="H27" s="14"/>
      <c r="I27" s="14"/>
      <c r="J27" s="14"/>
      <c r="K27" s="14"/>
      <c r="L27" s="14">
        <f>'Model'!F32</f>
        <v>3830.371286575</v>
      </c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7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1" customWidth="1"/>
    <col min="2" max="4" width="9.9375" style="31" customWidth="1"/>
    <col min="5" max="16384" width="16.3516" style="31" customWidth="1"/>
  </cols>
  <sheetData>
    <row r="1" ht="30.75" customHeight="1"/>
    <row r="2" ht="27.65" customHeight="1">
      <c r="B2" t="s" s="2">
        <v>57</v>
      </c>
      <c r="C2" s="2"/>
      <c r="D2" s="2"/>
    </row>
    <row r="3" ht="20.25" customHeight="1">
      <c r="B3" s="5"/>
      <c r="C3" t="s" s="4">
        <v>58</v>
      </c>
      <c r="D3" t="s" s="4">
        <v>59</v>
      </c>
    </row>
    <row r="4" ht="20.25" customHeight="1">
      <c r="B4" s="21">
        <v>2016</v>
      </c>
      <c r="C4" s="32">
        <v>931.816833</v>
      </c>
      <c r="D4" s="8"/>
    </row>
    <row r="5" ht="20.05" customHeight="1">
      <c r="B5" s="24"/>
      <c r="C5" s="33">
        <v>887.444519</v>
      </c>
      <c r="D5" s="16"/>
    </row>
    <row r="6" ht="20.05" customHeight="1">
      <c r="B6" s="24"/>
      <c r="C6" s="33">
        <v>909.630676</v>
      </c>
      <c r="D6" s="16"/>
    </row>
    <row r="7" ht="20.05" customHeight="1">
      <c r="B7" s="24"/>
      <c r="C7" s="33">
        <v>971.667419</v>
      </c>
      <c r="D7" s="16"/>
    </row>
    <row r="8" ht="20.05" customHeight="1">
      <c r="B8" s="24"/>
      <c r="C8" s="33">
        <v>961.75238</v>
      </c>
      <c r="D8" s="16"/>
    </row>
    <row r="9" ht="20.05" customHeight="1">
      <c r="B9" s="24"/>
      <c r="C9" s="33">
        <v>892.347656</v>
      </c>
      <c r="D9" s="16"/>
    </row>
    <row r="10" ht="20.05" customHeight="1">
      <c r="B10" s="24"/>
      <c r="C10" s="33">
        <v>956.794922</v>
      </c>
      <c r="D10" s="16"/>
    </row>
    <row r="11" ht="20.05" customHeight="1">
      <c r="B11" s="24"/>
      <c r="C11" s="33">
        <v>872.517639</v>
      </c>
      <c r="D11" s="16"/>
    </row>
    <row r="12" ht="20.05" customHeight="1">
      <c r="B12" s="24"/>
      <c r="C12" s="33">
        <v>813.027832</v>
      </c>
      <c r="D12" s="16"/>
    </row>
    <row r="13" ht="20.05" customHeight="1">
      <c r="B13" s="24"/>
      <c r="C13" s="33">
        <v>989.018616</v>
      </c>
      <c r="D13" s="16"/>
    </row>
    <row r="14" ht="20.05" customHeight="1">
      <c r="B14" s="24"/>
      <c r="C14" s="33">
        <v>904.341492</v>
      </c>
      <c r="D14" s="16"/>
    </row>
    <row r="15" ht="20.05" customHeight="1">
      <c r="B15" s="24"/>
      <c r="C15" s="33">
        <v>879.497009</v>
      </c>
      <c r="D15" s="16"/>
    </row>
    <row r="16" ht="20.05" customHeight="1">
      <c r="B16" s="25">
        <v>2017</v>
      </c>
      <c r="C16" s="33">
        <v>874.528015</v>
      </c>
      <c r="D16" s="16"/>
    </row>
    <row r="17" ht="20.05" customHeight="1">
      <c r="B17" s="24"/>
      <c r="C17" s="33">
        <v>993.781921</v>
      </c>
      <c r="D17" s="16"/>
    </row>
    <row r="18" ht="20.05" customHeight="1">
      <c r="B18" s="24"/>
      <c r="C18" s="33">
        <v>1083.222168</v>
      </c>
      <c r="D18" s="16"/>
    </row>
    <row r="19" ht="20.05" customHeight="1">
      <c r="B19" s="24"/>
      <c r="C19" s="33">
        <v>1144.949951</v>
      </c>
      <c r="D19" s="16"/>
    </row>
    <row r="20" ht="20.05" customHeight="1">
      <c r="B20" s="24"/>
      <c r="C20" s="33">
        <v>1144.949951</v>
      </c>
      <c r="D20" s="16"/>
    </row>
    <row r="21" ht="20.05" customHeight="1">
      <c r="B21" s="24"/>
      <c r="C21" s="33">
        <v>925.916077</v>
      </c>
      <c r="D21" s="16"/>
    </row>
    <row r="22" ht="20.05" customHeight="1">
      <c r="B22" s="24"/>
      <c r="C22" s="33">
        <v>1015.520813</v>
      </c>
      <c r="D22" s="16"/>
    </row>
    <row r="23" ht="20.05" customHeight="1">
      <c r="B23" s="24"/>
      <c r="C23" s="33">
        <v>816.399109</v>
      </c>
      <c r="D23" s="16"/>
    </row>
    <row r="24" ht="20.05" customHeight="1">
      <c r="B24" s="24"/>
      <c r="C24" s="33">
        <v>906.003906</v>
      </c>
      <c r="D24" s="16"/>
    </row>
    <row r="25" ht="20.05" customHeight="1">
      <c r="B25" s="24"/>
      <c r="C25" s="33">
        <v>945.828247</v>
      </c>
      <c r="D25" s="16"/>
    </row>
    <row r="26" ht="20.05" customHeight="1">
      <c r="B26" s="24"/>
      <c r="C26" s="33">
        <v>1035.194458</v>
      </c>
      <c r="D26" s="16"/>
    </row>
    <row r="27" ht="20.05" customHeight="1">
      <c r="B27" s="24"/>
      <c r="C27" s="33">
        <v>870.561096</v>
      </c>
      <c r="D27" s="16"/>
    </row>
    <row r="28" ht="20.05" customHeight="1">
      <c r="B28" s="25">
        <v>2018</v>
      </c>
      <c r="C28" s="33">
        <v>855.594421</v>
      </c>
      <c r="D28" s="16"/>
    </row>
    <row r="29" ht="20.05" customHeight="1">
      <c r="B29" s="24"/>
      <c r="C29" s="33">
        <v>895.505554</v>
      </c>
      <c r="D29" s="16"/>
    </row>
    <row r="30" ht="20.05" customHeight="1">
      <c r="B30" s="24"/>
      <c r="C30" s="33">
        <v>893.011108</v>
      </c>
      <c r="D30" s="16"/>
    </row>
    <row r="31" ht="20.05" customHeight="1">
      <c r="B31" s="24"/>
      <c r="C31" s="33">
        <v>893.011108</v>
      </c>
      <c r="D31" s="16"/>
    </row>
    <row r="32" ht="20.05" customHeight="1">
      <c r="B32" s="24"/>
      <c r="C32" s="33">
        <v>888.022217</v>
      </c>
      <c r="D32" s="16"/>
    </row>
    <row r="33" ht="20.05" customHeight="1">
      <c r="B33" s="24"/>
      <c r="C33" s="33">
        <v>885</v>
      </c>
      <c r="D33" s="16"/>
    </row>
    <row r="34" ht="20.05" customHeight="1">
      <c r="B34" s="24"/>
      <c r="C34" s="33">
        <v>885</v>
      </c>
      <c r="D34" s="16"/>
    </row>
    <row r="35" ht="20.05" customHeight="1">
      <c r="B35" s="24"/>
      <c r="C35" s="33">
        <v>855</v>
      </c>
      <c r="D35" s="16"/>
    </row>
    <row r="36" ht="20.05" customHeight="1">
      <c r="B36" s="24"/>
      <c r="C36" s="33">
        <v>882.5</v>
      </c>
      <c r="D36" s="16"/>
    </row>
    <row r="37" ht="20.05" customHeight="1">
      <c r="B37" s="24"/>
      <c r="C37" s="33">
        <v>840</v>
      </c>
      <c r="D37" s="16"/>
    </row>
    <row r="38" ht="20.05" customHeight="1">
      <c r="B38" s="24"/>
      <c r="C38" s="33">
        <v>870</v>
      </c>
      <c r="D38" s="16"/>
    </row>
    <row r="39" ht="20.05" customHeight="1">
      <c r="B39" s="24"/>
      <c r="C39" s="33">
        <v>845</v>
      </c>
      <c r="D39" s="16"/>
    </row>
    <row r="40" ht="20.05" customHeight="1">
      <c r="B40" s="25">
        <v>2019</v>
      </c>
      <c r="C40" s="33">
        <v>770</v>
      </c>
      <c r="D40" s="16"/>
    </row>
    <row r="41" ht="20.05" customHeight="1">
      <c r="B41" s="24"/>
      <c r="C41" s="33">
        <v>825</v>
      </c>
      <c r="D41" s="16"/>
    </row>
    <row r="42" ht="20.05" customHeight="1">
      <c r="B42" s="24"/>
      <c r="C42" s="33">
        <v>790</v>
      </c>
      <c r="D42" s="16"/>
    </row>
    <row r="43" ht="20.05" customHeight="1">
      <c r="B43" s="24"/>
      <c r="C43" s="33">
        <v>770</v>
      </c>
      <c r="D43" s="16"/>
    </row>
    <row r="44" ht="20.05" customHeight="1">
      <c r="B44" s="24"/>
      <c r="C44" s="33">
        <v>727.5</v>
      </c>
      <c r="D44" s="16"/>
    </row>
    <row r="45" ht="20.05" customHeight="1">
      <c r="B45" s="24"/>
      <c r="C45" s="33">
        <v>695</v>
      </c>
      <c r="D45" s="16"/>
    </row>
    <row r="46" ht="20.05" customHeight="1">
      <c r="B46" s="24"/>
      <c r="C46" s="33">
        <v>545</v>
      </c>
      <c r="D46" s="16"/>
    </row>
    <row r="47" ht="20.05" customHeight="1">
      <c r="B47" s="24"/>
      <c r="C47" s="33">
        <v>602.5</v>
      </c>
      <c r="D47" s="16"/>
    </row>
    <row r="48" ht="20.05" customHeight="1">
      <c r="B48" s="24"/>
      <c r="C48" s="33">
        <v>560</v>
      </c>
      <c r="D48" s="16"/>
    </row>
    <row r="49" ht="20.05" customHeight="1">
      <c r="B49" s="24"/>
      <c r="C49" s="33">
        <v>557.5</v>
      </c>
      <c r="D49" s="16"/>
    </row>
    <row r="50" ht="20.05" customHeight="1">
      <c r="B50" s="24"/>
      <c r="C50" s="33">
        <v>557.5</v>
      </c>
      <c r="D50" s="16"/>
    </row>
    <row r="51" ht="20.05" customHeight="1">
      <c r="B51" s="24"/>
      <c r="C51" s="33">
        <v>502.5</v>
      </c>
      <c r="D51" s="16"/>
    </row>
    <row r="52" ht="20.05" customHeight="1">
      <c r="B52" s="25">
        <v>2020</v>
      </c>
      <c r="C52" s="33">
        <v>500</v>
      </c>
      <c r="D52" s="16"/>
    </row>
    <row r="53" ht="20.05" customHeight="1">
      <c r="B53" s="24"/>
      <c r="C53" s="33">
        <v>560</v>
      </c>
      <c r="D53" s="16"/>
    </row>
    <row r="54" ht="20.05" customHeight="1">
      <c r="B54" s="24"/>
      <c r="C54" s="33">
        <v>499</v>
      </c>
      <c r="D54" s="16"/>
    </row>
    <row r="55" ht="20.05" customHeight="1">
      <c r="B55" s="24"/>
      <c r="C55" s="33">
        <v>490</v>
      </c>
      <c r="D55" s="16"/>
    </row>
    <row r="56" ht="20.05" customHeight="1">
      <c r="B56" s="24"/>
      <c r="C56" s="13">
        <v>499</v>
      </c>
      <c r="D56" s="16"/>
    </row>
    <row r="57" ht="20.05" customHeight="1">
      <c r="B57" s="24"/>
      <c r="C57" s="13">
        <v>490</v>
      </c>
      <c r="D57" s="16"/>
    </row>
    <row r="58" ht="20.05" customHeight="1">
      <c r="B58" s="24"/>
      <c r="C58" s="13">
        <v>450</v>
      </c>
      <c r="D58" s="16"/>
    </row>
    <row r="59" ht="20.05" customHeight="1">
      <c r="B59" s="24"/>
      <c r="C59" s="13">
        <v>545</v>
      </c>
      <c r="D59" s="16"/>
    </row>
    <row r="60" ht="20.05" customHeight="1">
      <c r="B60" s="24"/>
      <c r="C60" s="13">
        <v>750</v>
      </c>
      <c r="D60" s="16"/>
    </row>
    <row r="61" ht="20.05" customHeight="1">
      <c r="B61" s="24"/>
      <c r="C61" s="13">
        <v>800</v>
      </c>
      <c r="D61" s="16"/>
    </row>
    <row r="62" ht="20.05" customHeight="1">
      <c r="B62" s="24"/>
      <c r="C62" s="13">
        <v>832.5</v>
      </c>
      <c r="D62" s="16"/>
    </row>
    <row r="63" ht="20.05" customHeight="1">
      <c r="B63" s="24"/>
      <c r="C63" s="13">
        <v>1400</v>
      </c>
      <c r="D63" s="16"/>
    </row>
    <row r="64" ht="20.05" customHeight="1">
      <c r="B64" s="25">
        <v>2021</v>
      </c>
      <c r="C64" s="13">
        <v>1900</v>
      </c>
      <c r="D64" s="16"/>
    </row>
    <row r="65" ht="20.05" customHeight="1">
      <c r="B65" s="24"/>
      <c r="C65" s="13">
        <v>2110</v>
      </c>
      <c r="D65" s="34"/>
    </row>
    <row r="66" ht="20.05" customHeight="1">
      <c r="B66" s="24"/>
      <c r="C66" s="13">
        <v>2270</v>
      </c>
      <c r="D66" s="34"/>
    </row>
    <row r="67" ht="20.05" customHeight="1">
      <c r="B67" s="24"/>
      <c r="C67" s="13">
        <v>2240</v>
      </c>
      <c r="D67" s="34"/>
    </row>
    <row r="68" ht="20.05" customHeight="1">
      <c r="B68" s="24"/>
      <c r="C68" s="13">
        <v>2350</v>
      </c>
      <c r="D68" s="34"/>
    </row>
    <row r="69" ht="20.05" customHeight="1">
      <c r="B69" s="24"/>
      <c r="C69" s="13">
        <v>2500</v>
      </c>
      <c r="D69" s="34"/>
    </row>
    <row r="70" ht="20.05" customHeight="1">
      <c r="B70" s="24"/>
      <c r="C70" s="13">
        <v>2750</v>
      </c>
      <c r="D70" s="34"/>
    </row>
    <row r="71" ht="20.05" customHeight="1">
      <c r="B71" s="24"/>
      <c r="C71" s="13">
        <v>2170</v>
      </c>
      <c r="D71" s="16"/>
    </row>
    <row r="72" ht="20.05" customHeight="1">
      <c r="B72" s="24"/>
      <c r="C72" s="13">
        <v>1740</v>
      </c>
      <c r="D72" s="34"/>
    </row>
    <row r="73" ht="20.05" customHeight="1">
      <c r="B73" s="24"/>
      <c r="C73" s="13">
        <v>1925</v>
      </c>
      <c r="D73" s="34"/>
    </row>
    <row r="74" ht="20.05" customHeight="1">
      <c r="B74" s="24"/>
      <c r="C74" s="13">
        <v>1975</v>
      </c>
      <c r="D74" s="35">
        <f>C74</f>
        <v>1975</v>
      </c>
    </row>
    <row r="75" ht="20.05" customHeight="1">
      <c r="B75" s="24"/>
      <c r="C75" s="13"/>
      <c r="D75" s="35">
        <f>'Model'!F45</f>
        <v>1036.201014542480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