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<sst xmlns="http://schemas.openxmlformats.org/spreadsheetml/2006/main" uniqueCount="62">
  <si>
    <t>Financial model</t>
  </si>
  <si>
    <t>Rpbn</t>
  </si>
  <si>
    <t>4Q 2021</t>
  </si>
  <si>
    <t xml:space="preserve">Cashflow </t>
  </si>
  <si>
    <t>Growth</t>
  </si>
  <si>
    <t>Sales</t>
  </si>
  <si>
    <t>Cost ratio</t>
  </si>
  <si>
    <t xml:space="preserve">Cash costs </t>
  </si>
  <si>
    <t>Operating</t>
  </si>
  <si>
    <t>Investment</t>
  </si>
  <si>
    <t>Leases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</si>
  <si>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</si>
  <si>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</si>
  <si>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</si>
  <si>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</si>
  <si>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</si>
  <si>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</si>
  <si>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</si>
  <si>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</si>
  <si>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</si>
  <si>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</si>
  <si>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</si>
  <si>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</si>
  <si>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</si>
  <si>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</si>
  <si>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</si>
  <si>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</si>
  <si>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</si>
  <si>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</si>
  <si>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</si>
  <si>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>Capital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</si>
  <si>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</si>
  <si>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</si>
  <si>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</si>
  <si>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</si>
  <si>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</si>
  <si>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</si>
  <si>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</si>
  <si>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</si>
  <si>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</si>
  <si>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</si>
  <si>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</si>
  <si>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</si>
  <si>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Net profit </t>
  </si>
  <si>
    <t xml:space="preserve">Sales growth </t>
  </si>
  <si>
    <t>Cash cost ratio</t>
  </si>
  <si>
    <t xml:space="preserve">Cashflow costs </t>
  </si>
  <si>
    <t>Cashflow</t>
  </si>
  <si>
    <t>Receipts</t>
  </si>
  <si>
    <t xml:space="preserve">Operating </t>
  </si>
  <si>
    <t>Capex</t>
  </si>
  <si>
    <t xml:space="preserve">Investment </t>
  </si>
  <si>
    <t xml:space="preserve">Free cashflow </t>
  </si>
  <si>
    <t xml:space="preserve">Capital </t>
  </si>
  <si>
    <t>Rp bn</t>
  </si>
  <si>
    <t>Cash</t>
  </si>
  <si>
    <t>Assets</t>
  </si>
  <si>
    <t xml:space="preserve">Other assets </t>
  </si>
  <si>
    <t>Net cash</t>
  </si>
  <si>
    <t>ELSA</t>
  </si>
  <si>
    <t xml:space="preserve">Share price 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</si>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</sst>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%_);[Red]\(#,##0%\)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2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4" borderId="3" applyNumberFormat="1" applyFont="1" applyFill="0" applyBorder="1" applyAlignment="1" applyProtection="0">
      <alignment vertical="center" wrapText="1" readingOrder="1"/>
    </xf>
    <xf numFmtId="0" fontId="4" borderId="6" applyNumberFormat="1" applyFont="1" applyFill="0" applyBorder="1" applyAlignment="1" applyProtection="0">
      <alignment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515286</xdr:colOff>
      <xdr:row>1</xdr:row>
      <xdr:rowOff>188810</xdr:rowOff>
    </xdr:from>
    <xdr:to>
      <xdr:col>13</xdr:col>
      <xdr:colOff>206375</xdr:colOff>
      <xdr:row>46</xdr:row>
      <xdr:rowOff>90001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93586" y="491070"/>
          <a:ext cx="8403290" cy="114613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5.6172" style="1" customWidth="1"/>
    <col min="3" max="6" width="8.09375" style="1" customWidth="1"/>
    <col min="7" max="16384" width="16.3516" style="1" customWidth="1"/>
  </cols>
  <sheetData>
    <row r="1" ht="23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6"/>
      <c r="F3" s="5"/>
    </row>
    <row r="4" ht="20.25" customHeight="1">
      <c r="B4" t="s" s="7">
        <v>3</v>
      </c>
      <c r="C4" s="8">
        <f>AVERAGE('Sales'!G27:G30)</f>
        <v>0.0204208859413957</v>
      </c>
      <c r="D4" s="9"/>
      <c r="E4" s="9"/>
      <c r="F4" s="10">
        <f>AVERAGE(C5:F5)</f>
        <v>0.0475</v>
      </c>
    </row>
    <row r="5" ht="20.05" customHeight="1">
      <c r="B5" t="s" s="11">
        <v>4</v>
      </c>
      <c r="C5" s="12">
        <v>0.1</v>
      </c>
      <c r="D5" s="13">
        <v>-0.01</v>
      </c>
      <c r="E5" s="13">
        <v>0.05</v>
      </c>
      <c r="F5" s="13">
        <v>0.05</v>
      </c>
    </row>
    <row r="6" ht="20.05" customHeight="1">
      <c r="B6" t="s" s="11">
        <v>5</v>
      </c>
      <c r="C6" s="14">
        <f>'Sales'!C30*(1+C5)</f>
        <v>2208.14</v>
      </c>
      <c r="D6" s="15">
        <f>C6*(1+D5)</f>
        <v>2186.0586</v>
      </c>
      <c r="E6" s="15">
        <f>D6*(1+E5)</f>
        <v>2295.36153</v>
      </c>
      <c r="F6" s="15">
        <f>E6*(1+F5)</f>
        <v>2410.1296065</v>
      </c>
    </row>
    <row r="7" ht="20.05" customHeight="1">
      <c r="B7" t="s" s="11">
        <v>6</v>
      </c>
      <c r="C7" s="12">
        <f>AVERAGE('Sales'!I30)</f>
        <v>-0.9070192898421749</v>
      </c>
      <c r="D7" s="13">
        <f>C7</f>
        <v>-0.9070192898421749</v>
      </c>
      <c r="E7" s="13">
        <f>D7</f>
        <v>-0.9070192898421749</v>
      </c>
      <c r="F7" s="13">
        <f>E7</f>
        <v>-0.9070192898421749</v>
      </c>
    </row>
    <row r="8" ht="20.05" customHeight="1">
      <c r="B8" t="s" s="11">
        <v>7</v>
      </c>
      <c r="C8" s="16">
        <f>C7*C6</f>
        <v>-2002.8255746721</v>
      </c>
      <c r="D8" s="17">
        <f>D7*D6</f>
        <v>-1982.797318925380</v>
      </c>
      <c r="E8" s="17">
        <f>E7*E6</f>
        <v>-2081.937184871650</v>
      </c>
      <c r="F8" s="17">
        <f>F7*F6</f>
        <v>-2186.034044115230</v>
      </c>
    </row>
    <row r="9" ht="20.05" customHeight="1">
      <c r="B9" t="s" s="11">
        <v>8</v>
      </c>
      <c r="C9" s="16">
        <f>C6+C8</f>
        <v>205.3144253279</v>
      </c>
      <c r="D9" s="17">
        <f>D6+D8</f>
        <v>203.261281074620</v>
      </c>
      <c r="E9" s="17">
        <f>E6+E8</f>
        <v>213.424345128350</v>
      </c>
      <c r="F9" s="17">
        <f>F6+F8</f>
        <v>224.095562384770</v>
      </c>
    </row>
    <row r="10" ht="20.05" customHeight="1">
      <c r="B10" t="s" s="11">
        <v>9</v>
      </c>
      <c r="C10" s="16">
        <f>AVERAGE('Cashflow '!F30)</f>
        <v>-82.90000000000001</v>
      </c>
      <c r="D10" s="17">
        <f>C10</f>
        <v>-82.90000000000001</v>
      </c>
      <c r="E10" s="17">
        <f>D10</f>
        <v>-82.90000000000001</v>
      </c>
      <c r="F10" s="17">
        <f>E10</f>
        <v>-82.90000000000001</v>
      </c>
    </row>
    <row r="11" ht="20.05" customHeight="1">
      <c r="B11" t="s" s="11">
        <v>10</v>
      </c>
      <c r="C11" s="16">
        <f>'Cashflow '!G30</f>
        <v>-51.9</v>
      </c>
      <c r="D11" s="17">
        <f>C11</f>
        <v>-51.9</v>
      </c>
      <c r="E11" s="17">
        <f>D11</f>
        <v>-51.9</v>
      </c>
      <c r="F11" s="17">
        <f>E11</f>
        <v>-51.9</v>
      </c>
    </row>
    <row r="12" ht="20.05" customHeight="1">
      <c r="B12" t="s" s="11">
        <v>11</v>
      </c>
      <c r="C12" s="16">
        <f>C13+C14+C16</f>
        <v>-122.4144253279</v>
      </c>
      <c r="D12" s="17">
        <f>D13+D14+D16</f>
        <v>-120.361281074620</v>
      </c>
      <c r="E12" s="17">
        <f>E13+E14+E16</f>
        <v>-130.524345128350</v>
      </c>
      <c r="F12" s="17">
        <f>F13+F14+F16</f>
        <v>-141.195562384770</v>
      </c>
    </row>
    <row r="13" ht="20.05" customHeight="1">
      <c r="B13" t="s" s="11">
        <v>12</v>
      </c>
      <c r="C13" s="16">
        <f>-('Balance sheet'!G30)/20</f>
        <v>-167.6</v>
      </c>
      <c r="D13" s="17">
        <f>-C27/20</f>
        <v>-159.22</v>
      </c>
      <c r="E13" s="17">
        <f>-D27/20</f>
        <v>-151.259</v>
      </c>
      <c r="F13" s="17">
        <f>-E27/20</f>
        <v>-143.69605</v>
      </c>
    </row>
    <row r="14" ht="20.05" customHeight="1">
      <c r="B14" t="s" s="11">
        <v>13</v>
      </c>
      <c r="C14" s="16">
        <f>IF(C22&gt;0,-C22*0.3,0)</f>
        <v>-18.484327598370</v>
      </c>
      <c r="D14" s="17">
        <f>IF(D22&gt;0,-D22*0.3,0)</f>
        <v>-17.868384322386</v>
      </c>
      <c r="E14" s="17">
        <f>IF(E22&gt;0,-E22*0.3,0)</f>
        <v>-20.917303538505</v>
      </c>
      <c r="F14" s="17">
        <f>IF(F22&gt;0,-F22*0.3,0)</f>
        <v>-24.118668715431</v>
      </c>
    </row>
    <row r="15" ht="20.05" customHeight="1">
      <c r="B15" t="s" s="11">
        <v>14</v>
      </c>
      <c r="C15" s="16">
        <f>C9+C10+C13+C14</f>
        <v>-63.669902270470</v>
      </c>
      <c r="D15" s="17">
        <f>D9+D10+D13+D14</f>
        <v>-56.727103247766</v>
      </c>
      <c r="E15" s="17">
        <f>E9+E10+E13+E14</f>
        <v>-41.651958410155</v>
      </c>
      <c r="F15" s="17">
        <f>F9+F10+F13+F14</f>
        <v>-26.619156330661</v>
      </c>
    </row>
    <row r="16" ht="20.05" customHeight="1">
      <c r="B16" t="s" s="11">
        <v>15</v>
      </c>
      <c r="C16" s="16">
        <f>-MIN(0,C15)</f>
        <v>63.669902270470</v>
      </c>
      <c r="D16" s="17">
        <f>-MIN(C28,D15)</f>
        <v>56.727103247766</v>
      </c>
      <c r="E16" s="17">
        <f>-MIN(D28,E15)</f>
        <v>41.651958410155</v>
      </c>
      <c r="F16" s="17">
        <f>-MIN(E28,F15)</f>
        <v>26.619156330661</v>
      </c>
    </row>
    <row r="17" ht="20.05" customHeight="1">
      <c r="B17" t="s" s="11">
        <v>16</v>
      </c>
      <c r="C17" s="16">
        <f>'Balance sheet'!C30</f>
        <v>763</v>
      </c>
      <c r="D17" s="17">
        <f>C19</f>
        <v>763</v>
      </c>
      <c r="E17" s="17">
        <f>D19</f>
        <v>763</v>
      </c>
      <c r="F17" s="17">
        <f>E19</f>
        <v>763</v>
      </c>
    </row>
    <row r="18" ht="20.05" customHeight="1">
      <c r="B18" t="s" s="11">
        <v>17</v>
      </c>
      <c r="C18" s="16">
        <f>C9+C10+C12</f>
        <v>0</v>
      </c>
      <c r="D18" s="17">
        <f>D9+D10+D12</f>
        <v>0</v>
      </c>
      <c r="E18" s="17">
        <f>E9+E10+E12</f>
        <v>0</v>
      </c>
      <c r="F18" s="17">
        <f>F9+F10+F12</f>
        <v>0</v>
      </c>
    </row>
    <row r="19" ht="20.05" customHeight="1">
      <c r="B19" t="s" s="11">
        <v>18</v>
      </c>
      <c r="C19" s="16">
        <f>C17+C18</f>
        <v>763</v>
      </c>
      <c r="D19" s="17">
        <f>D17+D18</f>
        <v>763</v>
      </c>
      <c r="E19" s="17">
        <f>E17+E18</f>
        <v>763</v>
      </c>
      <c r="F19" s="17">
        <f>F17+F18</f>
        <v>763</v>
      </c>
    </row>
    <row r="20" ht="20.05" customHeight="1">
      <c r="B20" t="s" s="18">
        <v>19</v>
      </c>
      <c r="C20" s="16"/>
      <c r="D20" s="17"/>
      <c r="E20" s="19"/>
      <c r="F20" s="20"/>
    </row>
    <row r="21" ht="20.05" customHeight="1">
      <c r="B21" t="s" s="11">
        <v>20</v>
      </c>
      <c r="C21" s="16">
        <f>-AVERAGE('Sales'!E30)</f>
        <v>-143.7</v>
      </c>
      <c r="D21" s="17">
        <f>C21</f>
        <v>-143.7</v>
      </c>
      <c r="E21" s="17">
        <f>D21</f>
        <v>-143.7</v>
      </c>
      <c r="F21" s="17">
        <f>E21</f>
        <v>-143.7</v>
      </c>
    </row>
    <row r="22" ht="20.05" customHeight="1">
      <c r="B22" t="s" s="11">
        <v>21</v>
      </c>
      <c r="C22" s="16">
        <f>C6+C8+C21</f>
        <v>61.6144253279</v>
      </c>
      <c r="D22" s="17">
        <f>D6+D8+D21</f>
        <v>59.561281074620</v>
      </c>
      <c r="E22" s="17">
        <f>E6+E8+E21</f>
        <v>69.724345128350</v>
      </c>
      <c r="F22" s="17">
        <f>F6+F8+F21</f>
        <v>80.395562384770</v>
      </c>
    </row>
    <row r="23" ht="20.05" customHeight="1">
      <c r="B23" t="s" s="11">
        <v>22</v>
      </c>
      <c r="C23" s="16"/>
      <c r="D23" s="19"/>
      <c r="E23" s="19"/>
      <c r="F23" s="17"/>
    </row>
    <row r="24" ht="20.05" customHeight="1">
      <c r="B24" t="s" s="11">
        <v>23</v>
      </c>
      <c r="C24" s="16">
        <f>'Balance sheet'!F30+'Balance sheet'!E30-C10</f>
        <v>10617.9</v>
      </c>
      <c r="D24" s="17">
        <f>C24-D10</f>
        <v>10700.8</v>
      </c>
      <c r="E24" s="17">
        <f>D24-E10</f>
        <v>10783.7</v>
      </c>
      <c r="F24" s="17">
        <f>E24-F10</f>
        <v>10866.6</v>
      </c>
    </row>
    <row r="25" ht="20.05" customHeight="1">
      <c r="B25" t="s" s="11">
        <v>24</v>
      </c>
      <c r="C25" s="16">
        <f>'Balance sheet'!F30-C21</f>
        <v>4376.7</v>
      </c>
      <c r="D25" s="17">
        <f>C25-D21</f>
        <v>4520.4</v>
      </c>
      <c r="E25" s="17">
        <f>D25-E21</f>
        <v>4664.1</v>
      </c>
      <c r="F25" s="17">
        <f>E25-F21</f>
        <v>4807.8</v>
      </c>
    </row>
    <row r="26" ht="20.05" customHeight="1">
      <c r="B26" t="s" s="11">
        <v>25</v>
      </c>
      <c r="C26" s="16">
        <f>C24-C25</f>
        <v>6241.2</v>
      </c>
      <c r="D26" s="17">
        <f>D24-D25</f>
        <v>6180.4</v>
      </c>
      <c r="E26" s="17">
        <f>E24-E25</f>
        <v>6119.6</v>
      </c>
      <c r="F26" s="17">
        <f>F24-F25</f>
        <v>6058.8</v>
      </c>
    </row>
    <row r="27" ht="20.05" customHeight="1">
      <c r="B27" t="s" s="11">
        <v>12</v>
      </c>
      <c r="C27" s="16">
        <f>'Balance sheet'!G30+C13</f>
        <v>3184.4</v>
      </c>
      <c r="D27" s="17">
        <f>C27+D13</f>
        <v>3025.18</v>
      </c>
      <c r="E27" s="17">
        <f>D27+E13</f>
        <v>2873.921</v>
      </c>
      <c r="F27" s="17">
        <f>E27+F13</f>
        <v>2730.22495</v>
      </c>
    </row>
    <row r="28" ht="20.05" customHeight="1">
      <c r="B28" t="s" s="11">
        <v>15</v>
      </c>
      <c r="C28" s="16">
        <f>C16</f>
        <v>63.669902270470</v>
      </c>
      <c r="D28" s="17">
        <f>C28+D16</f>
        <v>120.397005518236</v>
      </c>
      <c r="E28" s="17">
        <f>D28+E16</f>
        <v>162.048963928391</v>
      </c>
      <c r="F28" s="17">
        <f>E28+F16</f>
        <v>188.668120259052</v>
      </c>
    </row>
    <row r="29" ht="20.05" customHeight="1">
      <c r="B29" t="s" s="11">
        <v>26</v>
      </c>
      <c r="C29" s="16">
        <f>'Balance sheet'!H30+C22+C14</f>
        <v>3756.130097729530</v>
      </c>
      <c r="D29" s="17">
        <f>C29+D22+D14</f>
        <v>3797.822994481760</v>
      </c>
      <c r="E29" s="17">
        <f>D29+E22+E14</f>
        <v>3846.630036071610</v>
      </c>
      <c r="F29" s="17">
        <f>E29+F22+F14</f>
        <v>3902.906929740950</v>
      </c>
    </row>
    <row r="30" ht="20.05" customHeight="1">
      <c r="B30" t="s" s="11">
        <v>27</v>
      </c>
      <c r="C30" s="16">
        <f>C27+C28+C29-C19-C26</f>
        <v>0</v>
      </c>
      <c r="D30" s="17">
        <f>D27+D28+D29-D19-D26</f>
        <v>-4e-12</v>
      </c>
      <c r="E30" s="17">
        <f>E27+E28+E29-E19-E26</f>
        <v>1e-12</v>
      </c>
      <c r="F30" s="17">
        <f>F27+F28+F29-F19-F26</f>
        <v>2e-12</v>
      </c>
    </row>
    <row r="31" ht="20.05" customHeight="1">
      <c r="B31" t="s" s="11">
        <v>28</v>
      </c>
      <c r="C31" s="16">
        <f>C19-C27-C28</f>
        <v>-2485.069902270470</v>
      </c>
      <c r="D31" s="17">
        <f>D19-D27-D28</f>
        <v>-2382.577005518240</v>
      </c>
      <c r="E31" s="17">
        <f>E19-E27-E28</f>
        <v>-2272.969963928390</v>
      </c>
      <c r="F31" s="17">
        <f>F19-F27-F28</f>
        <v>-2155.893070259050</v>
      </c>
    </row>
    <row r="32" ht="20.05" customHeight="1">
      <c r="B32" t="s" s="11">
        <v>29</v>
      </c>
      <c r="C32" s="16"/>
      <c r="D32" s="17"/>
      <c r="E32" s="17"/>
      <c r="F32" s="17"/>
    </row>
    <row r="33" ht="20.05" customHeight="1">
      <c r="B33" t="s" s="11">
        <v>30</v>
      </c>
      <c r="C33" s="16">
        <f>'Cashflow '!M30-(C12-C11)</f>
        <v>667.3784253279</v>
      </c>
      <c r="D33" s="17">
        <f>C33-(D12-D11)</f>
        <v>735.8397064025201</v>
      </c>
      <c r="E33" s="17">
        <f>D33-(E12-E11)</f>
        <v>814.4640515308701</v>
      </c>
      <c r="F33" s="17">
        <f>E33-(F12-F11)</f>
        <v>903.759613915640</v>
      </c>
    </row>
    <row r="34" ht="20.05" customHeight="1">
      <c r="B34" t="s" s="11">
        <v>31</v>
      </c>
      <c r="C34" s="16"/>
      <c r="D34" s="17"/>
      <c r="E34" s="17"/>
      <c r="F34" s="17">
        <v>2102</v>
      </c>
    </row>
    <row r="35" ht="20.05" customHeight="1">
      <c r="B35" t="s" s="11">
        <v>32</v>
      </c>
      <c r="C35" s="16"/>
      <c r="D35" s="17"/>
      <c r="E35" s="17"/>
      <c r="F35" s="21">
        <f>F34/(F19+F26)</f>
        <v>0.308129819109326</v>
      </c>
    </row>
    <row r="36" ht="20.05" customHeight="1">
      <c r="B36" t="s" s="11">
        <v>33</v>
      </c>
      <c r="C36" s="16"/>
      <c r="D36" s="17"/>
      <c r="E36" s="17"/>
      <c r="F36" s="22">
        <f>-(C14+D14+E14+F14)/F34</f>
        <v>0.0387196404256384</v>
      </c>
    </row>
    <row r="37" ht="20.05" customHeight="1">
      <c r="B37" t="s" s="11">
        <v>3</v>
      </c>
      <c r="C37" s="16"/>
      <c r="D37" s="17"/>
      <c r="E37" s="17"/>
      <c r="F37" s="17">
        <f>SUM(C9:F11)</f>
        <v>306.895613915640</v>
      </c>
    </row>
    <row r="38" ht="20.05" customHeight="1">
      <c r="B38" t="s" s="11">
        <v>34</v>
      </c>
      <c r="C38" s="16"/>
      <c r="D38" s="17"/>
      <c r="E38" s="17"/>
      <c r="F38" s="17">
        <f>'Balance sheet'!E30/F37</f>
        <v>20.5346694910156</v>
      </c>
    </row>
    <row r="39" ht="20.05" customHeight="1">
      <c r="B39" t="s" s="11">
        <v>29</v>
      </c>
      <c r="C39" s="16"/>
      <c r="D39" s="17"/>
      <c r="E39" s="17"/>
      <c r="F39" s="17">
        <f>F34/F37</f>
        <v>6.84923441290302</v>
      </c>
    </row>
    <row r="40" ht="20.05" customHeight="1">
      <c r="B40" t="s" s="11">
        <v>35</v>
      </c>
      <c r="C40" s="16"/>
      <c r="D40" s="17"/>
      <c r="E40" s="17"/>
      <c r="F40" s="19">
        <v>15</v>
      </c>
    </row>
    <row r="41" ht="20.05" customHeight="1">
      <c r="B41" t="s" s="11">
        <v>36</v>
      </c>
      <c r="C41" s="16"/>
      <c r="D41" s="17"/>
      <c r="E41" s="17"/>
      <c r="F41" s="17">
        <f>F37*F40</f>
        <v>4603.4342087346</v>
      </c>
    </row>
    <row r="42" ht="20.05" customHeight="1">
      <c r="B42" t="s" s="11">
        <v>37</v>
      </c>
      <c r="C42" s="16"/>
      <c r="D42" s="17"/>
      <c r="E42" s="17"/>
      <c r="F42" s="17">
        <f>F34/F44</f>
        <v>7.29861111111111</v>
      </c>
    </row>
    <row r="43" ht="20.05" customHeight="1">
      <c r="B43" t="s" s="11">
        <v>38</v>
      </c>
      <c r="C43" s="16"/>
      <c r="D43" s="17"/>
      <c r="E43" s="17"/>
      <c r="F43" s="17">
        <f>F41/F42</f>
        <v>630.7274272671571</v>
      </c>
    </row>
    <row r="44" ht="20.05" customHeight="1">
      <c r="B44" t="s" s="11">
        <v>39</v>
      </c>
      <c r="C44" s="16"/>
      <c r="D44" s="17"/>
      <c r="E44" s="17"/>
      <c r="F44" s="17">
        <f>'Share price'!C98</f>
        <v>288</v>
      </c>
    </row>
    <row r="45" ht="20.05" customHeight="1">
      <c r="B45" t="s" s="11">
        <v>40</v>
      </c>
      <c r="C45" s="16"/>
      <c r="D45" s="17"/>
      <c r="E45" s="17"/>
      <c r="F45" s="22">
        <f>F43/F44-1</f>
        <v>1.19002578912207</v>
      </c>
    </row>
    <row r="46" ht="20.05" customHeight="1">
      <c r="B46" t="s" s="11">
        <v>41</v>
      </c>
      <c r="C46" s="16"/>
      <c r="D46" s="17"/>
      <c r="E46" s="17"/>
      <c r="F46" s="23">
        <f>'Sales'!C30/'Sales'!C26-1</f>
        <v>0.0775093934514224</v>
      </c>
    </row>
    <row r="47" ht="20.05" customHeight="1">
      <c r="B47" t="s" s="11">
        <v>42</v>
      </c>
      <c r="C47" s="16"/>
      <c r="D47" s="17"/>
      <c r="E47" s="17"/>
      <c r="F47" s="23">
        <f>('Sales'!D26+'Sales'!D30+'Sales'!D27+'Sales'!D28+'Sales'!D29)/('Sales'!C26+'Sales'!C27+'Sales'!C28+'Sales'!C30+'Sales'!C29)-1</f>
        <v>0.0594834392703436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7188" style="24" customWidth="1"/>
    <col min="2" max="2" width="10.3984" style="24" customWidth="1"/>
    <col min="3" max="10" width="10.4844" style="24" customWidth="1"/>
    <col min="11" max="16384" width="16.3516" style="24" customWidth="1"/>
  </cols>
  <sheetData>
    <row r="1" ht="20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</v>
      </c>
      <c r="D3" t="s" s="4">
        <v>35</v>
      </c>
      <c r="E3" t="s" s="4">
        <v>24</v>
      </c>
      <c r="F3" t="s" s="4">
        <v>43</v>
      </c>
      <c r="G3" t="s" s="4">
        <v>44</v>
      </c>
      <c r="H3" t="s" s="4">
        <v>45</v>
      </c>
      <c r="I3" t="s" s="4">
        <v>46</v>
      </c>
      <c r="J3" t="s" s="4">
        <v>46</v>
      </c>
    </row>
    <row r="4" ht="20.25" customHeight="1">
      <c r="B4" s="25">
        <v>2015</v>
      </c>
      <c r="C4" s="26">
        <v>924</v>
      </c>
      <c r="D4" s="27"/>
      <c r="E4" s="28">
        <v>61</v>
      </c>
      <c r="F4" s="28">
        <v>65.8</v>
      </c>
      <c r="G4" s="10"/>
      <c r="H4" s="29">
        <f>(E4+F4-C4)/C4</f>
        <v>-0.862770562770563</v>
      </c>
      <c r="I4" s="29"/>
      <c r="J4" s="29">
        <f>('Cashflow '!D4-'Cashflow '!C4)/'Cashflow '!C4</f>
        <v>-0.861897810218978</v>
      </c>
    </row>
    <row r="5" ht="20.05" customHeight="1">
      <c r="B5" s="30"/>
      <c r="C5" s="16">
        <v>879</v>
      </c>
      <c r="D5" s="19"/>
      <c r="E5" s="17">
        <v>50</v>
      </c>
      <c r="F5" s="17">
        <v>69.09999999999999</v>
      </c>
      <c r="G5" s="22">
        <f>C5/C4-1</f>
        <v>-0.0487012987012987</v>
      </c>
      <c r="H5" s="22">
        <f>(E5+F5-C5)/C5</f>
        <v>-0.8645051194539251</v>
      </c>
      <c r="I5" s="22"/>
      <c r="J5" s="22">
        <f>('Cashflow '!D5-'Cashflow '!C5)/'Cashflow '!C5</f>
        <v>-0.918383055793128</v>
      </c>
    </row>
    <row r="6" ht="20.05" customHeight="1">
      <c r="B6" s="30"/>
      <c r="C6" s="16">
        <v>816.4</v>
      </c>
      <c r="D6" s="19"/>
      <c r="E6" s="17">
        <v>40</v>
      </c>
      <c r="F6" s="17">
        <v>95</v>
      </c>
      <c r="G6" s="22">
        <f>C6/C5-1</f>
        <v>-0.0712172923777019</v>
      </c>
      <c r="H6" s="22">
        <f>(E6+F6-C6)/C6</f>
        <v>-0.834639882410583</v>
      </c>
      <c r="I6" s="22"/>
      <c r="J6" s="22">
        <f>('Cashflow '!D6-'Cashflow '!C6)/'Cashflow '!C6</f>
        <v>-0.893237810534996</v>
      </c>
    </row>
    <row r="7" ht="20.05" customHeight="1">
      <c r="B7" s="30"/>
      <c r="C7" s="16">
        <v>1155.6</v>
      </c>
      <c r="D7" s="19"/>
      <c r="E7" s="17">
        <v>80</v>
      </c>
      <c r="F7" s="17">
        <v>149.8</v>
      </c>
      <c r="G7" s="22">
        <f>C7/C6-1</f>
        <v>0.415482606565409</v>
      </c>
      <c r="H7" s="22">
        <f>(E7+F7-C7)/C7</f>
        <v>-0.801142263759086</v>
      </c>
      <c r="I7" s="22"/>
      <c r="J7" s="22">
        <f>('Cashflow '!D7-'Cashflow '!C7)/'Cashflow '!C7</f>
        <v>-0.851253403436297</v>
      </c>
    </row>
    <row r="8" ht="20.05" customHeight="1">
      <c r="B8" s="31">
        <v>2016</v>
      </c>
      <c r="C8" s="16">
        <v>921</v>
      </c>
      <c r="D8" s="19"/>
      <c r="E8" s="17">
        <v>58</v>
      </c>
      <c r="F8" s="17">
        <v>102.5</v>
      </c>
      <c r="G8" s="22">
        <f>C8/C7-1</f>
        <v>-0.203011422637591</v>
      </c>
      <c r="H8" s="22">
        <f>(E8+F8-C8)/C8</f>
        <v>-0.825732899022801</v>
      </c>
      <c r="I8" s="22">
        <f>AVERAGE(J5:J8)</f>
        <v>-0.852665984844549</v>
      </c>
      <c r="J8" s="22">
        <f>('Cashflow '!D8-'Cashflow '!C8)/'Cashflow '!C8</f>
        <v>-0.747789669613774</v>
      </c>
    </row>
    <row r="9" ht="20.05" customHeight="1">
      <c r="B9" s="30"/>
      <c r="C9" s="16">
        <v>790</v>
      </c>
      <c r="D9" s="19"/>
      <c r="E9" s="17">
        <v>65</v>
      </c>
      <c r="F9" s="17">
        <v>48.8</v>
      </c>
      <c r="G9" s="22">
        <f>C9/C8-1</f>
        <v>-0.142236699239957</v>
      </c>
      <c r="H9" s="22">
        <f>(E9+F9-C9)/C9</f>
        <v>-0.855949367088608</v>
      </c>
      <c r="I9" s="22">
        <f>AVERAGE(J6:J9)</f>
        <v>-0.828706964111298</v>
      </c>
      <c r="J9" s="22">
        <f>('Cashflow '!D9-'Cashflow '!C9)/'Cashflow '!C9</f>
        <v>-0.822546972860125</v>
      </c>
    </row>
    <row r="10" ht="20.05" customHeight="1">
      <c r="B10" s="30"/>
      <c r="C10" s="16">
        <v>812.7</v>
      </c>
      <c r="D10" s="19"/>
      <c r="E10" s="17">
        <v>68</v>
      </c>
      <c r="F10" s="17">
        <v>32.9</v>
      </c>
      <c r="G10" s="22">
        <f>C10/C9-1</f>
        <v>0.0287341772151899</v>
      </c>
      <c r="H10" s="22">
        <f>(E10+F10-C10)/C10</f>
        <v>-0.875845945613387</v>
      </c>
      <c r="I10" s="22">
        <f>AVERAGE(J7:J10)</f>
        <v>-0.861476666265407</v>
      </c>
      <c r="J10" s="22">
        <f>('Cashflow '!D10-'Cashflow '!C10)/'Cashflow '!C10</f>
        <v>-1.02431661915143</v>
      </c>
    </row>
    <row r="11" ht="20.05" customHeight="1">
      <c r="B11" s="30"/>
      <c r="C11" s="16">
        <v>1096.8</v>
      </c>
      <c r="D11" s="19"/>
      <c r="E11" s="17">
        <v>75</v>
      </c>
      <c r="F11" s="17">
        <v>131.86</v>
      </c>
      <c r="G11" s="22">
        <f>C11/C10-1</f>
        <v>0.349575489110373</v>
      </c>
      <c r="H11" s="22">
        <f>(E11+F11-C11)/C11</f>
        <v>-0.811396790663749</v>
      </c>
      <c r="I11" s="22">
        <f>AVERAGE(J8:J11)</f>
        <v>-0.869649951505639</v>
      </c>
      <c r="J11" s="22">
        <f>('Cashflow '!D11-'Cashflow '!C11)/'Cashflow '!C11</f>
        <v>-0.883946544397227</v>
      </c>
    </row>
    <row r="12" ht="20.05" customHeight="1">
      <c r="B12" s="31">
        <v>2017</v>
      </c>
      <c r="C12" s="16">
        <v>969.9</v>
      </c>
      <c r="D12" s="19"/>
      <c r="E12" s="17">
        <v>81</v>
      </c>
      <c r="F12" s="17">
        <v>5.09</v>
      </c>
      <c r="G12" s="22">
        <f>C12/C11-1</f>
        <v>-0.115700218818381</v>
      </c>
      <c r="H12" s="22">
        <f>(E12+F12-C12)/C12</f>
        <v>-0.911238271986803</v>
      </c>
      <c r="I12" s="22">
        <f>AVERAGE(J9:J12)</f>
        <v>-0.9262678821242289</v>
      </c>
      <c r="J12" s="22">
        <f>('Cashflow '!D12-'Cashflow '!C12)/'Cashflow '!C12</f>
        <v>-0.974261392088132</v>
      </c>
    </row>
    <row r="13" ht="20.05" customHeight="1">
      <c r="B13" s="30"/>
      <c r="C13" s="16">
        <v>1021.5</v>
      </c>
      <c r="D13" s="19"/>
      <c r="E13" s="17">
        <v>88</v>
      </c>
      <c r="F13" s="17">
        <v>9.23</v>
      </c>
      <c r="G13" s="22">
        <f>C13/C12-1</f>
        <v>0.0532013609650479</v>
      </c>
      <c r="H13" s="22">
        <f>(E13+F13-C13)/C13</f>
        <v>-0.904816446402349</v>
      </c>
      <c r="I13" s="22">
        <f>AVERAGE(J10:J13)</f>
        <v>-0.951365510728551</v>
      </c>
      <c r="J13" s="22">
        <f>('Cashflow '!D13-'Cashflow '!C13)/'Cashflow '!C13</f>
        <v>-0.922937487277415</v>
      </c>
    </row>
    <row r="14" ht="20.05" customHeight="1">
      <c r="B14" s="30"/>
      <c r="C14" s="16">
        <v>1330</v>
      </c>
      <c r="D14" s="19"/>
      <c r="E14" s="17">
        <v>85</v>
      </c>
      <c r="F14" s="17">
        <v>71.17</v>
      </c>
      <c r="G14" s="22">
        <f>C14/C13-1</f>
        <v>0.302006852667646</v>
      </c>
      <c r="H14" s="22">
        <f>(E14+F14-C14)/C14</f>
        <v>-0.882578947368421</v>
      </c>
      <c r="I14" s="22">
        <f>AVERAGE(J11:J14)</f>
        <v>-0.89703230414302</v>
      </c>
      <c r="J14" s="22">
        <f>('Cashflow '!D14-'Cashflow '!C14)/'Cashflow '!C14</f>
        <v>-0.806983792809307</v>
      </c>
    </row>
    <row r="15" ht="20.05" customHeight="1">
      <c r="B15" s="30"/>
      <c r="C15" s="16">
        <v>1657.5</v>
      </c>
      <c r="D15" s="19"/>
      <c r="E15" s="17">
        <v>79</v>
      </c>
      <c r="F15" s="17">
        <v>165.21</v>
      </c>
      <c r="G15" s="22">
        <f>C15/C14-1</f>
        <v>0.246240601503759</v>
      </c>
      <c r="H15" s="22">
        <f>(E15+F15-C15)/C15</f>
        <v>-0.852663650075415</v>
      </c>
      <c r="I15" s="22">
        <f>AVERAGE(J12:J15)</f>
        <v>-0.911980753612078</v>
      </c>
      <c r="J15" s="22">
        <f>('Cashflow '!D15-'Cashflow '!C15)/'Cashflow '!C15</f>
        <v>-0.943740342273456</v>
      </c>
    </row>
    <row r="16" ht="20.05" customHeight="1">
      <c r="B16" s="31">
        <v>2018</v>
      </c>
      <c r="C16" s="16">
        <v>1456.2</v>
      </c>
      <c r="D16" s="19"/>
      <c r="E16" s="17">
        <v>93</v>
      </c>
      <c r="F16" s="17">
        <v>70.8</v>
      </c>
      <c r="G16" s="22">
        <f>C16/C15-1</f>
        <v>-0.121447963800905</v>
      </c>
      <c r="H16" s="22">
        <f>(E16+F16-C16)/C16</f>
        <v>-0.887515451174289</v>
      </c>
      <c r="I16" s="22">
        <f>AVERAGE(J13:J16)</f>
        <v>-0.907335471781857</v>
      </c>
      <c r="J16" s="22">
        <f>('Cashflow '!D16-'Cashflow '!C16)/'Cashflow '!C16</f>
        <v>-0.955680264767249</v>
      </c>
    </row>
    <row r="17" ht="20.05" customHeight="1">
      <c r="B17" s="30"/>
      <c r="C17" s="16">
        <v>1460.5</v>
      </c>
      <c r="D17" s="19"/>
      <c r="E17" s="17">
        <v>91</v>
      </c>
      <c r="F17" s="17">
        <v>56.8</v>
      </c>
      <c r="G17" s="22">
        <f>C17/C16-1</f>
        <v>0.00295289108638923</v>
      </c>
      <c r="H17" s="22">
        <f>(E17+F17-C17)/C17</f>
        <v>-0.898801780212256</v>
      </c>
      <c r="I17" s="22">
        <f>AVERAGE(J14:J17)</f>
        <v>-0.945595755458676</v>
      </c>
      <c r="J17" s="22">
        <f>('Cashflow '!D17-'Cashflow '!C17)/'Cashflow '!C17</f>
        <v>-1.07597862198469</v>
      </c>
    </row>
    <row r="18" ht="20.05" customHeight="1">
      <c r="B18" s="30"/>
      <c r="C18" s="16">
        <v>1721.8</v>
      </c>
      <c r="D18" s="19"/>
      <c r="E18" s="17">
        <v>93</v>
      </c>
      <c r="F18" s="17">
        <v>93.2</v>
      </c>
      <c r="G18" s="22">
        <f>C18/C17-1</f>
        <v>0.178911331735707</v>
      </c>
      <c r="H18" s="22">
        <f>(E18+F18-C18)/C18</f>
        <v>-0.891857358578232</v>
      </c>
      <c r="I18" s="22">
        <f>AVERAGE(J15:J18)</f>
        <v>-0.9674720604827181</v>
      </c>
      <c r="J18" s="22">
        <f>('Cashflow '!D18-'Cashflow '!C18)/'Cashflow '!C18</f>
        <v>-0.894489012905476</v>
      </c>
    </row>
    <row r="19" ht="20.05" customHeight="1">
      <c r="B19" s="30"/>
      <c r="C19" s="16">
        <v>1986.27</v>
      </c>
      <c r="D19" s="19"/>
      <c r="E19" s="17">
        <v>83</v>
      </c>
      <c r="F19" s="17">
        <v>55.5</v>
      </c>
      <c r="G19" s="22">
        <f>C19/C18-1</f>
        <v>0.153600882797073</v>
      </c>
      <c r="H19" s="22">
        <f>(E19+F19-C19)/C19</f>
        <v>-0.930271312560729</v>
      </c>
      <c r="I19" s="22">
        <f>AVERAGE(J16:J19)</f>
        <v>-0.955197393597184</v>
      </c>
      <c r="J19" s="22">
        <f>('Cashflow '!D19-'Cashflow '!C19)/'Cashflow '!C19</f>
        <v>-0.8946416747313199</v>
      </c>
    </row>
    <row r="20" ht="20.05" customHeight="1">
      <c r="B20" s="31">
        <v>2019</v>
      </c>
      <c r="C20" s="16">
        <v>1901.7</v>
      </c>
      <c r="D20" s="19"/>
      <c r="E20" s="17">
        <v>108</v>
      </c>
      <c r="F20" s="17">
        <v>75.8</v>
      </c>
      <c r="G20" s="22">
        <f>C20/C19-1</f>
        <v>-0.0425772931172499</v>
      </c>
      <c r="H20" s="22">
        <f>(E20+F20-C20)/C20</f>
        <v>-0.903349634537519</v>
      </c>
      <c r="I20" s="22">
        <f>AVERAGE(J17:J20)</f>
        <v>-0.975748186728937</v>
      </c>
      <c r="J20" s="22">
        <f>('Cashflow '!D20-'Cashflow '!C20)/'Cashflow '!C20</f>
        <v>-1.03788343729426</v>
      </c>
    </row>
    <row r="21" ht="20.05" customHeight="1">
      <c r="B21" s="30"/>
      <c r="C21" s="16">
        <v>1869</v>
      </c>
      <c r="D21" s="19"/>
      <c r="E21" s="17">
        <v>108</v>
      </c>
      <c r="F21" s="17">
        <v>78.95</v>
      </c>
      <c r="G21" s="22">
        <f>C21/C20-1</f>
        <v>-0.0171951411894621</v>
      </c>
      <c r="H21" s="22">
        <f>(E21+F21-C21)/C21</f>
        <v>-0.899973247726057</v>
      </c>
      <c r="I21" s="22">
        <f>AVERAGE(J18:J21)</f>
        <v>-0.959125646607549</v>
      </c>
      <c r="J21" s="22">
        <f>('Cashflow '!D21-'Cashflow '!C21)/'Cashflow '!C21</f>
        <v>-1.00948846149914</v>
      </c>
    </row>
    <row r="22" ht="20.05" customHeight="1">
      <c r="B22" s="30"/>
      <c r="C22" s="16">
        <v>2146.3</v>
      </c>
      <c r="D22" s="19"/>
      <c r="E22" s="17">
        <v>108</v>
      </c>
      <c r="F22" s="17">
        <v>83.45</v>
      </c>
      <c r="G22" s="22">
        <f>C22/C21-1</f>
        <v>0.14836811128946</v>
      </c>
      <c r="H22" s="22">
        <f>(E22+F22-C22)/C22</f>
        <v>-0.910799981363276</v>
      </c>
      <c r="I22" s="22">
        <f>AVERAGE(J19:J22)</f>
        <v>-0.933427088558795</v>
      </c>
      <c r="J22" s="22">
        <f>('Cashflow '!D22-'Cashflow '!C22)/'Cashflow '!C22</f>
        <v>-0.791694780710458</v>
      </c>
    </row>
    <row r="23" ht="20.05" customHeight="1">
      <c r="B23" s="30"/>
      <c r="C23" s="16">
        <v>2468.12</v>
      </c>
      <c r="D23" s="19"/>
      <c r="E23" s="17">
        <v>108</v>
      </c>
      <c r="F23" s="17">
        <v>118.2</v>
      </c>
      <c r="G23" s="22">
        <f>C23/C22-1</f>
        <v>0.14994176023855</v>
      </c>
      <c r="H23" s="22">
        <f>(E23+F23-C23)/C23</f>
        <v>-0.9083512957230599</v>
      </c>
      <c r="I23" s="22">
        <f>AVERAGE(J20:J23)</f>
        <v>-0.932794889041852</v>
      </c>
      <c r="J23" s="22">
        <f>('Cashflow '!D23-'Cashflow '!C23)/'Cashflow '!C23</f>
        <v>-0.892112876663551</v>
      </c>
    </row>
    <row r="24" ht="20.05" customHeight="1">
      <c r="B24" s="31">
        <v>2020</v>
      </c>
      <c r="C24" s="16">
        <v>2056.36</v>
      </c>
      <c r="D24" s="19"/>
      <c r="E24" s="17">
        <v>181.75</v>
      </c>
      <c r="F24" s="17">
        <v>51.7</v>
      </c>
      <c r="G24" s="22">
        <f>C24/C23-1</f>
        <v>-0.166831434452134</v>
      </c>
      <c r="H24" s="22">
        <f>(E24+F24-C24)/C24</f>
        <v>-0.886474158221323</v>
      </c>
      <c r="I24" s="22">
        <f>AVERAGE(J21:J24)</f>
        <v>-0.887112330553942</v>
      </c>
      <c r="J24" s="22">
        <f>('Cashflow '!D24-'Cashflow '!C24)/'Cashflow '!C24</f>
        <v>-0.855153203342618</v>
      </c>
    </row>
    <row r="25" ht="20.05" customHeight="1">
      <c r="B25" s="30"/>
      <c r="C25" s="16">
        <v>1840.64</v>
      </c>
      <c r="D25" s="19"/>
      <c r="E25" s="17">
        <v>181.75</v>
      </c>
      <c r="F25" s="17">
        <v>78.59999999999999</v>
      </c>
      <c r="G25" s="22">
        <f>C25/C24-1</f>
        <v>-0.104903810616818</v>
      </c>
      <c r="H25" s="22">
        <f>(E25+F25-C25)/C25</f>
        <v>-0.8585546331710709</v>
      </c>
      <c r="I25" s="22">
        <f>AVERAGE(J22:J25)</f>
        <v>-0.870624432283245</v>
      </c>
      <c r="J25" s="22">
        <f>('Cashflow '!D25-'Cashflow '!C25)/'Cashflow '!C25</f>
        <v>-0.943536868416354</v>
      </c>
    </row>
    <row r="26" ht="20.05" customHeight="1">
      <c r="B26" s="30"/>
      <c r="C26" s="16">
        <f>5760-SUM(C24:C25)</f>
        <v>1863</v>
      </c>
      <c r="D26" s="17">
        <v>1996.059</v>
      </c>
      <c r="E26" s="17">
        <v>181.75</v>
      </c>
      <c r="F26" s="17">
        <f>187-SUM(F24:F25)</f>
        <v>56.7</v>
      </c>
      <c r="G26" s="22">
        <f>C26/C25-1</f>
        <v>0.0121479485396384</v>
      </c>
      <c r="H26" s="22">
        <f>(E26+F26-C26)/C26</f>
        <v>-0.872007514761138</v>
      </c>
      <c r="I26" s="22">
        <f>AVERAGE(J23:J26)</f>
        <v>-0.891532385407346</v>
      </c>
      <c r="J26" s="22">
        <f>('Cashflow '!D26-'Cashflow '!C26)/'Cashflow '!C26</f>
        <v>-0.875326593206861</v>
      </c>
    </row>
    <row r="27" ht="20.05" customHeight="1">
      <c r="B27" s="30"/>
      <c r="C27" s="16">
        <v>1967</v>
      </c>
      <c r="D27" s="17">
        <v>2142.45</v>
      </c>
      <c r="E27" s="17">
        <v>181.75</v>
      </c>
      <c r="F27" s="17">
        <v>62</v>
      </c>
      <c r="G27" s="22">
        <f>C27/C26-1</f>
        <v>0.0558239398819109</v>
      </c>
      <c r="H27" s="22">
        <f>(E27+F27-C27)/C27</f>
        <v>-0.876080325368582</v>
      </c>
      <c r="I27" s="22">
        <f>AVERAGE(J24:J27)</f>
        <v>-0.87604573393742</v>
      </c>
      <c r="J27" s="22">
        <f>('Cashflow '!D27-'Cashflow '!C27)/'Cashflow '!C27</f>
        <v>-0.830166270783848</v>
      </c>
    </row>
    <row r="28" ht="20.05" customHeight="1">
      <c r="B28" s="31">
        <v>2021</v>
      </c>
      <c r="C28" s="16">
        <v>1819.2</v>
      </c>
      <c r="D28" s="17">
        <v>1986.67</v>
      </c>
      <c r="E28" s="17">
        <v>179.2</v>
      </c>
      <c r="F28" s="17">
        <v>1.6</v>
      </c>
      <c r="G28" s="22">
        <f>C28/C27-1</f>
        <v>-0.0751398068124047</v>
      </c>
      <c r="H28" s="22">
        <f>(E28+F28-C28)/C28</f>
        <v>-0.900615655233069</v>
      </c>
      <c r="I28" s="22">
        <f>AVERAGE(J25:J28)</f>
        <v>-0.880312043926759</v>
      </c>
      <c r="J28" s="22">
        <f>('Cashflow '!D28-'Cashflow '!C28)/'Cashflow '!C28</f>
        <v>-0.872218443299971</v>
      </c>
    </row>
    <row r="29" ht="20.05" customHeight="1">
      <c r="B29" s="30"/>
      <c r="C29" s="16">
        <f>3712.3-C28</f>
        <v>1893.1</v>
      </c>
      <c r="D29" s="17">
        <v>1910.16</v>
      </c>
      <c r="E29" s="17">
        <f>358.8-E28</f>
        <v>179.6</v>
      </c>
      <c r="F29" s="17">
        <f>40.1-F28</f>
        <v>38.5</v>
      </c>
      <c r="G29" s="22">
        <f>C29/C28-1</f>
        <v>0.0406222515391381</v>
      </c>
      <c r="H29" s="22">
        <f>(E29+F29-C29)/C29</f>
        <v>-0.884792139876393</v>
      </c>
      <c r="I29" s="22">
        <f>AVERAGE(J26:J29)</f>
        <v>-0.888071675207094</v>
      </c>
      <c r="J29" s="22">
        <f>('Cashflow '!D29-'Cashflow '!C29)/'Cashflow '!C29</f>
        <v>-0.974575393537697</v>
      </c>
    </row>
    <row r="30" ht="20.05" customHeight="1">
      <c r="B30" s="30"/>
      <c r="C30" s="16">
        <f>5719.7-SUM(C28:C29)</f>
        <v>2007.4</v>
      </c>
      <c r="D30" s="17">
        <v>2082.41</v>
      </c>
      <c r="E30" s="17">
        <f>502.5-SUM(E28:E29)</f>
        <v>143.7</v>
      </c>
      <c r="F30" s="17">
        <f>37.6-SUM(F28:F29)</f>
        <v>-2.5</v>
      </c>
      <c r="G30" s="22">
        <f>C30/C29-1</f>
        <v>0.0603771591569384</v>
      </c>
      <c r="H30" s="22">
        <f>(E30+F30-C30)/C30</f>
        <v>-0.929660257048919</v>
      </c>
      <c r="I30" s="22">
        <f>AVERAGE(J27:J30)</f>
        <v>-0.9070192898421749</v>
      </c>
      <c r="J30" s="22">
        <f>('Cashflow '!D30-'Cashflow '!C30)/'Cashflow '!C30</f>
        <v>-0.951117051747184</v>
      </c>
    </row>
    <row r="31" ht="20.05" customHeight="1">
      <c r="B31" s="30"/>
      <c r="C31" s="16"/>
      <c r="D31" s="17">
        <f>'Model'!C6</f>
        <v>2208.14</v>
      </c>
      <c r="E31" s="17"/>
      <c r="F31" s="19"/>
      <c r="G31" s="20"/>
      <c r="H31" s="13">
        <f>'Model'!C7</f>
        <v>-0.9070192898421749</v>
      </c>
      <c r="I31" s="20"/>
      <c r="J31" s="22"/>
    </row>
    <row r="32" ht="20.05" customHeight="1">
      <c r="B32" s="31">
        <v>2022</v>
      </c>
      <c r="C32" s="16"/>
      <c r="D32" s="17">
        <f>'Model'!D6</f>
        <v>2186.0586</v>
      </c>
      <c r="E32" s="17"/>
      <c r="F32" s="19"/>
      <c r="G32" s="20"/>
      <c r="H32" s="20"/>
      <c r="I32" s="20"/>
      <c r="J32" s="22"/>
    </row>
    <row r="33" ht="20.05" customHeight="1">
      <c r="B33" s="30"/>
      <c r="C33" s="16"/>
      <c r="D33" s="17">
        <f>'Model'!E6</f>
        <v>2295.36153</v>
      </c>
      <c r="E33" s="17"/>
      <c r="F33" s="19"/>
      <c r="G33" s="20"/>
      <c r="H33" s="20"/>
      <c r="I33" s="20"/>
      <c r="J33" s="20"/>
    </row>
    <row r="34" ht="20.05" customHeight="1">
      <c r="B34" s="30"/>
      <c r="C34" s="16"/>
      <c r="D34" s="17">
        <f>'Model'!F6</f>
        <v>2410.1296065</v>
      </c>
      <c r="E34" s="17"/>
      <c r="F34" s="19"/>
      <c r="G34" s="20"/>
      <c r="H34" s="20"/>
      <c r="I34" s="20"/>
      <c r="J34" s="20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2656" style="32" customWidth="1"/>
    <col min="2" max="2" width="7.91406" style="32" customWidth="1"/>
    <col min="3" max="3" width="9.375" style="32" customWidth="1"/>
    <col min="4" max="4" width="9.10156" style="32" customWidth="1"/>
    <col min="5" max="6" width="8.94531" style="32" customWidth="1"/>
    <col min="7" max="7" width="11.0469" style="32" customWidth="1"/>
    <col min="8" max="10" width="8.375" style="32" customWidth="1"/>
    <col min="11" max="13" width="11.0469" style="32" customWidth="1"/>
    <col min="14" max="16384" width="16.3516" style="32" customWidth="1"/>
  </cols>
  <sheetData>
    <row r="1" ht="26.55" customHeight="1"/>
    <row r="2" ht="27.65" customHeight="1">
      <c r="B2" t="s" s="2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1</v>
      </c>
      <c r="C3" t="s" s="4">
        <v>48</v>
      </c>
      <c r="D3" t="s" s="4">
        <v>49</v>
      </c>
      <c r="E3" t="s" s="4">
        <v>50</v>
      </c>
      <c r="F3" t="s" s="4">
        <v>51</v>
      </c>
      <c r="G3" t="s" s="4">
        <v>10</v>
      </c>
      <c r="H3" t="s" s="4">
        <v>12</v>
      </c>
      <c r="I3" t="s" s="4">
        <v>26</v>
      </c>
      <c r="J3" t="s" s="4">
        <v>11</v>
      </c>
      <c r="K3" t="s" s="4">
        <v>52</v>
      </c>
      <c r="L3" t="s" s="4">
        <v>3</v>
      </c>
      <c r="M3" t="s" s="4">
        <v>53</v>
      </c>
    </row>
    <row r="4" ht="20.25" customHeight="1">
      <c r="B4" s="25">
        <v>2015</v>
      </c>
      <c r="C4" s="26">
        <v>1027.5</v>
      </c>
      <c r="D4" s="28">
        <v>141.9</v>
      </c>
      <c r="E4" s="28"/>
      <c r="F4" s="28">
        <v>-112.4</v>
      </c>
      <c r="G4" s="27"/>
      <c r="H4" s="28"/>
      <c r="I4" s="28"/>
      <c r="J4" s="28">
        <v>-43.26</v>
      </c>
      <c r="K4" s="33">
        <f>D4+F4+G4</f>
        <v>29.5</v>
      </c>
      <c r="L4" s="27"/>
      <c r="M4" s="28">
        <f>-(J4-G4)</f>
        <v>43.26</v>
      </c>
    </row>
    <row r="5" ht="20.05" customHeight="1">
      <c r="B5" s="30"/>
      <c r="C5" s="16">
        <v>1987.7</v>
      </c>
      <c r="D5" s="17">
        <v>162.23</v>
      </c>
      <c r="E5" s="17"/>
      <c r="F5" s="17">
        <v>-318</v>
      </c>
      <c r="G5" s="19"/>
      <c r="H5" s="17"/>
      <c r="I5" s="17"/>
      <c r="J5" s="17">
        <v>-82.8</v>
      </c>
      <c r="K5" s="34">
        <f>D5+F5+G5</f>
        <v>-155.77</v>
      </c>
      <c r="L5" s="19"/>
      <c r="M5" s="17">
        <f>-(J5-G5)+M4</f>
        <v>126.06</v>
      </c>
    </row>
    <row r="6" ht="20.05" customHeight="1">
      <c r="B6" s="30"/>
      <c r="C6" s="16">
        <v>970.1</v>
      </c>
      <c r="D6" s="17">
        <v>103.57</v>
      </c>
      <c r="E6" s="17"/>
      <c r="F6" s="17">
        <v>-103.8</v>
      </c>
      <c r="G6" s="19"/>
      <c r="H6" s="17"/>
      <c r="I6" s="17"/>
      <c r="J6" s="17">
        <v>-68.09999999999999</v>
      </c>
      <c r="K6" s="34">
        <f>D6+F6+G6</f>
        <v>-0.23</v>
      </c>
      <c r="L6" s="19"/>
      <c r="M6" s="17">
        <f>-(J6-G6)+M5</f>
        <v>194.16</v>
      </c>
    </row>
    <row r="7" ht="20.05" customHeight="1">
      <c r="B7" s="30"/>
      <c r="C7" s="16">
        <v>1065.1</v>
      </c>
      <c r="D7" s="17">
        <v>158.43</v>
      </c>
      <c r="E7" s="17"/>
      <c r="F7" s="17">
        <v>-116.27</v>
      </c>
      <c r="G7" s="19"/>
      <c r="H7" s="17"/>
      <c r="I7" s="17"/>
      <c r="J7" s="17">
        <v>68.09999999999999</v>
      </c>
      <c r="K7" s="34">
        <f>D7+F7+G7</f>
        <v>42.16</v>
      </c>
      <c r="L7" s="19"/>
      <c r="M7" s="17">
        <f>-(J7-G7)+M6</f>
        <v>126.06</v>
      </c>
    </row>
    <row r="8" ht="20.05" customHeight="1">
      <c r="B8" s="31">
        <v>2016</v>
      </c>
      <c r="C8" s="16">
        <v>1074.5</v>
      </c>
      <c r="D8" s="17">
        <v>271</v>
      </c>
      <c r="E8" s="17"/>
      <c r="F8" s="17">
        <v>-97.7</v>
      </c>
      <c r="G8" s="19"/>
      <c r="H8" s="17"/>
      <c r="I8" s="17"/>
      <c r="J8" s="17">
        <v>-309.8</v>
      </c>
      <c r="K8" s="34">
        <f>D8+F8+G8</f>
        <v>173.3</v>
      </c>
      <c r="L8" s="34">
        <f>AVERAGE(K5:K8)</f>
        <v>14.865</v>
      </c>
      <c r="M8" s="17">
        <f>-(J8-G8)+M7</f>
        <v>435.86</v>
      </c>
    </row>
    <row r="9" ht="20.05" customHeight="1">
      <c r="B9" s="30"/>
      <c r="C9" s="16">
        <v>1916</v>
      </c>
      <c r="D9" s="17">
        <v>340</v>
      </c>
      <c r="E9" s="17"/>
      <c r="F9" s="17">
        <v>-104</v>
      </c>
      <c r="G9" s="19"/>
      <c r="H9" s="17"/>
      <c r="I9" s="17"/>
      <c r="J9" s="17">
        <v>-361</v>
      </c>
      <c r="K9" s="34">
        <f>D9+F9+G9</f>
        <v>236</v>
      </c>
      <c r="L9" s="34">
        <f>AVERAGE(K6:K9)</f>
        <v>112.8075</v>
      </c>
      <c r="M9" s="17">
        <f>-(J9-G9)+M8</f>
        <v>796.86</v>
      </c>
    </row>
    <row r="10" ht="20.05" customHeight="1">
      <c r="B10" s="30"/>
      <c r="C10" s="16">
        <v>715.5599999999999</v>
      </c>
      <c r="D10" s="17">
        <v>-17.4</v>
      </c>
      <c r="E10" s="17"/>
      <c r="F10" s="17">
        <v>-30.25</v>
      </c>
      <c r="G10" s="19"/>
      <c r="H10" s="17"/>
      <c r="I10" s="17"/>
      <c r="J10" s="17">
        <v>-50.16</v>
      </c>
      <c r="K10" s="34">
        <f>D10+F10+G10</f>
        <v>-47.65</v>
      </c>
      <c r="L10" s="34">
        <f>AVERAGE(K7:K10)</f>
        <v>100.9525</v>
      </c>
      <c r="M10" s="17">
        <f>-(J10-G10)+M9</f>
        <v>847.02</v>
      </c>
    </row>
    <row r="11" ht="20.05" customHeight="1">
      <c r="B11" s="30"/>
      <c r="C11" s="16">
        <v>1073.04</v>
      </c>
      <c r="D11" s="17">
        <v>124.53</v>
      </c>
      <c r="E11" s="17"/>
      <c r="F11" s="17">
        <v>-160.95</v>
      </c>
      <c r="G11" s="19"/>
      <c r="H11" s="17"/>
      <c r="I11" s="17"/>
      <c r="J11" s="17">
        <v>98.95999999999999</v>
      </c>
      <c r="K11" s="34">
        <f>D11+F11+G11</f>
        <v>-36.42</v>
      </c>
      <c r="L11" s="34">
        <f>AVERAGE(K8:K11)</f>
        <v>81.3075</v>
      </c>
      <c r="M11" s="17">
        <f>-(J11-G11)+M10</f>
        <v>748.0599999999999</v>
      </c>
    </row>
    <row r="12" ht="20.05" customHeight="1">
      <c r="B12" s="31">
        <v>2017</v>
      </c>
      <c r="C12" s="16">
        <v>998.5</v>
      </c>
      <c r="D12" s="17">
        <v>25.7</v>
      </c>
      <c r="E12" s="17"/>
      <c r="F12" s="17">
        <v>-119</v>
      </c>
      <c r="G12" s="19"/>
      <c r="H12" s="17"/>
      <c r="I12" s="17"/>
      <c r="J12" s="17">
        <v>10.7</v>
      </c>
      <c r="K12" s="34">
        <f>D12+F12+G12</f>
        <v>-93.3</v>
      </c>
      <c r="L12" s="34">
        <f>AVERAGE(K9:K12)</f>
        <v>14.6575</v>
      </c>
      <c r="M12" s="17">
        <f>-(J12-G12)+M11</f>
        <v>737.36</v>
      </c>
    </row>
    <row r="13" ht="20.05" customHeight="1">
      <c r="B13" s="30"/>
      <c r="C13" s="16">
        <v>1031.63</v>
      </c>
      <c r="D13" s="17">
        <v>79.5</v>
      </c>
      <c r="E13" s="17"/>
      <c r="F13" s="17">
        <v>-93.17</v>
      </c>
      <c r="G13" s="19"/>
      <c r="H13" s="17"/>
      <c r="I13" s="17"/>
      <c r="J13" s="17">
        <v>-22.86</v>
      </c>
      <c r="K13" s="34">
        <f>D13+F13+G13</f>
        <v>-13.67</v>
      </c>
      <c r="L13" s="34">
        <f>AVERAGE(K10:K13)</f>
        <v>-47.76</v>
      </c>
      <c r="M13" s="17">
        <f>-(J13-G13)+M12</f>
        <v>760.22</v>
      </c>
    </row>
    <row r="14" ht="20.05" customHeight="1">
      <c r="B14" s="30"/>
      <c r="C14" s="16">
        <v>1101.98</v>
      </c>
      <c r="D14" s="17">
        <v>212.7</v>
      </c>
      <c r="E14" s="17"/>
      <c r="F14" s="17">
        <v>-71.43000000000001</v>
      </c>
      <c r="G14" s="19"/>
      <c r="H14" s="17"/>
      <c r="I14" s="17"/>
      <c r="J14" s="17">
        <v>-33.64</v>
      </c>
      <c r="K14" s="34">
        <f>D14+F14+G14</f>
        <v>141.27</v>
      </c>
      <c r="L14" s="34">
        <f>AVERAGE(K11:K14)</f>
        <v>-0.53</v>
      </c>
      <c r="M14" s="17">
        <f>-(J14-G14)+M13</f>
        <v>793.86</v>
      </c>
    </row>
    <row r="15" ht="20.05" customHeight="1">
      <c r="B15" s="30"/>
      <c r="C15" s="16">
        <v>1378.43</v>
      </c>
      <c r="D15" s="17">
        <v>77.55</v>
      </c>
      <c r="E15" s="17"/>
      <c r="F15" s="17">
        <v>-74.90000000000001</v>
      </c>
      <c r="G15" s="19"/>
      <c r="H15" s="17"/>
      <c r="I15" s="17"/>
      <c r="J15" s="17">
        <v>165.4</v>
      </c>
      <c r="K15" s="34">
        <f>D15+F15+G15</f>
        <v>2.65</v>
      </c>
      <c r="L15" s="34">
        <f>AVERAGE(K12:K15)</f>
        <v>9.237500000000001</v>
      </c>
      <c r="M15" s="17">
        <f>-(J15-G15)+M14</f>
        <v>628.46</v>
      </c>
    </row>
    <row r="16" ht="20.05" customHeight="1">
      <c r="B16" s="31">
        <v>2018</v>
      </c>
      <c r="C16" s="16">
        <v>1389.9</v>
      </c>
      <c r="D16" s="17">
        <v>61.6</v>
      </c>
      <c r="E16" s="17"/>
      <c r="F16" s="17">
        <v>-234.7</v>
      </c>
      <c r="G16" s="19"/>
      <c r="H16" s="17"/>
      <c r="I16" s="17"/>
      <c r="J16" s="17">
        <v>50.3</v>
      </c>
      <c r="K16" s="34">
        <f>D16+F16+G16</f>
        <v>-173.1</v>
      </c>
      <c r="L16" s="34">
        <f>AVERAGE(K13:K16)</f>
        <v>-10.7125</v>
      </c>
      <c r="M16" s="17">
        <f>-(J16-G16)+M15</f>
        <v>578.16</v>
      </c>
    </row>
    <row r="17" ht="20.05" customHeight="1">
      <c r="B17" s="30"/>
      <c r="C17" s="16">
        <v>1384.6</v>
      </c>
      <c r="D17" s="17">
        <v>-105.2</v>
      </c>
      <c r="E17" s="17"/>
      <c r="F17" s="17">
        <v>-107.42</v>
      </c>
      <c r="G17" s="19"/>
      <c r="H17" s="17"/>
      <c r="I17" s="17"/>
      <c r="J17" s="17">
        <v>62.66</v>
      </c>
      <c r="K17" s="34">
        <f>D17+F17+G17</f>
        <v>-212.62</v>
      </c>
      <c r="L17" s="34">
        <f>AVERAGE(K14:K17)</f>
        <v>-60.45</v>
      </c>
      <c r="M17" s="17">
        <f>-(J17-G17)+M16</f>
        <v>515.5</v>
      </c>
    </row>
    <row r="18" ht="20.05" customHeight="1">
      <c r="B18" s="30"/>
      <c r="C18" s="16">
        <v>1720.2</v>
      </c>
      <c r="D18" s="17">
        <v>181.5</v>
      </c>
      <c r="E18" s="17"/>
      <c r="F18" s="17">
        <v>-119.58</v>
      </c>
      <c r="G18" s="19"/>
      <c r="H18" s="17"/>
      <c r="I18" s="17"/>
      <c r="J18" s="17">
        <v>-3.96</v>
      </c>
      <c r="K18" s="34">
        <f>D18+F18+G18</f>
        <v>61.92</v>
      </c>
      <c r="L18" s="34">
        <f>AVERAGE(K15:K18)</f>
        <v>-80.28749999999999</v>
      </c>
      <c r="M18" s="17">
        <f>-(J18-G18)+M17</f>
        <v>519.46</v>
      </c>
    </row>
    <row r="19" ht="20.05" customHeight="1">
      <c r="B19" s="30"/>
      <c r="C19" s="16">
        <v>1963.3</v>
      </c>
      <c r="D19" s="17">
        <v>206.85</v>
      </c>
      <c r="E19" s="17"/>
      <c r="F19" s="17">
        <v>-124.9</v>
      </c>
      <c r="G19" s="19"/>
      <c r="H19" s="17"/>
      <c r="I19" s="17"/>
      <c r="J19" s="17">
        <v>-71.63</v>
      </c>
      <c r="K19" s="34">
        <f>D19+F19+G19</f>
        <v>81.95</v>
      </c>
      <c r="L19" s="34">
        <f>AVERAGE(K16:K19)</f>
        <v>-60.4625</v>
      </c>
      <c r="M19" s="17">
        <f>-(J19-G19)+M18</f>
        <v>591.09</v>
      </c>
    </row>
    <row r="20" ht="20.05" customHeight="1">
      <c r="B20" s="31">
        <v>2019</v>
      </c>
      <c r="C20" s="16">
        <v>1792.34</v>
      </c>
      <c r="D20" s="17">
        <v>-67.90000000000001</v>
      </c>
      <c r="E20" s="17">
        <v>-469</v>
      </c>
      <c r="F20" s="17">
        <v>-98.8</v>
      </c>
      <c r="G20" s="19"/>
      <c r="H20" s="17"/>
      <c r="I20" s="17"/>
      <c r="J20" s="17">
        <v>15.4</v>
      </c>
      <c r="K20" s="34">
        <f>D20+F20+G20</f>
        <v>-166.7</v>
      </c>
      <c r="L20" s="34">
        <f>AVERAGE(K17:K20)</f>
        <v>-58.8625</v>
      </c>
      <c r="M20" s="17">
        <f>-(J20-G20)+M19</f>
        <v>575.6900000000001</v>
      </c>
    </row>
    <row r="21" ht="20.05" customHeight="1">
      <c r="B21" s="30"/>
      <c r="C21" s="16">
        <v>1956.06</v>
      </c>
      <c r="D21" s="17">
        <v>-18.56</v>
      </c>
      <c r="E21" s="17">
        <v>0</v>
      </c>
      <c r="F21" s="17">
        <v>-303.9</v>
      </c>
      <c r="G21" s="19"/>
      <c r="H21" s="17"/>
      <c r="I21" s="17"/>
      <c r="J21" s="17">
        <v>280.8</v>
      </c>
      <c r="K21" s="34">
        <f>D21+F21+G21</f>
        <v>-322.46</v>
      </c>
      <c r="L21" s="34">
        <f>AVERAGE(K18:K21)</f>
        <v>-86.32250000000001</v>
      </c>
      <c r="M21" s="17">
        <f>-(J21-G21)+M20</f>
        <v>294.89</v>
      </c>
    </row>
    <row r="22" ht="20.05" customHeight="1">
      <c r="B22" s="30"/>
      <c r="C22" s="16">
        <v>2015.6</v>
      </c>
      <c r="D22" s="17">
        <v>419.86</v>
      </c>
      <c r="E22" s="17">
        <v>0</v>
      </c>
      <c r="F22" s="17">
        <v>-128.6</v>
      </c>
      <c r="G22" s="19"/>
      <c r="H22" s="17"/>
      <c r="I22" s="17"/>
      <c r="J22" s="17">
        <v>-280.2</v>
      </c>
      <c r="K22" s="34">
        <f>D22+F22+G22</f>
        <v>291.26</v>
      </c>
      <c r="L22" s="34">
        <f>AVERAGE(K19:K22)</f>
        <v>-28.9875</v>
      </c>
      <c r="M22" s="17">
        <f>-(J22-G22)+M21</f>
        <v>575.09</v>
      </c>
    </row>
    <row r="23" ht="20.05" customHeight="1">
      <c r="B23" s="30"/>
      <c r="C23" s="16">
        <v>2246.7</v>
      </c>
      <c r="D23" s="17">
        <v>242.39</v>
      </c>
      <c r="E23" s="17">
        <v>0</v>
      </c>
      <c r="F23" s="17">
        <v>-139.7</v>
      </c>
      <c r="G23" s="19"/>
      <c r="H23" s="17"/>
      <c r="I23" s="17"/>
      <c r="J23" s="17">
        <v>223.28</v>
      </c>
      <c r="K23" s="34">
        <f>D23+F23+G23</f>
        <v>102.69</v>
      </c>
      <c r="L23" s="34">
        <f>AVERAGE(K20:K23)</f>
        <v>-23.8025</v>
      </c>
      <c r="M23" s="17">
        <f>-(J23-G23)+M22</f>
        <v>351.81</v>
      </c>
    </row>
    <row r="24" ht="20.05" customHeight="1">
      <c r="B24" s="31">
        <v>2020</v>
      </c>
      <c r="C24" s="16">
        <v>2154</v>
      </c>
      <c r="D24" s="17">
        <v>312</v>
      </c>
      <c r="E24" s="17">
        <v>-109.9</v>
      </c>
      <c r="F24" s="17">
        <v>-122</v>
      </c>
      <c r="G24" s="19">
        <v>-71</v>
      </c>
      <c r="H24" s="17"/>
      <c r="I24" s="17"/>
      <c r="J24" s="17">
        <v>-142</v>
      </c>
      <c r="K24" s="34">
        <f>D24+F24+G24</f>
        <v>119</v>
      </c>
      <c r="L24" s="34">
        <f>AVERAGE(K21:K24)</f>
        <v>47.6225</v>
      </c>
      <c r="M24" s="17">
        <f>-(J24-G24)+M23</f>
        <v>422.81</v>
      </c>
    </row>
    <row r="25" ht="20.05" customHeight="1">
      <c r="B25" s="30"/>
      <c r="C25" s="16">
        <v>2240.4</v>
      </c>
      <c r="D25" s="17">
        <v>126.5</v>
      </c>
      <c r="E25" s="17">
        <v>-99.40000000000001</v>
      </c>
      <c r="F25" s="17">
        <v>-76.90000000000001</v>
      </c>
      <c r="G25" s="19">
        <f>-137-G24</f>
        <v>-66</v>
      </c>
      <c r="H25" s="17"/>
      <c r="I25" s="17"/>
      <c r="J25" s="17">
        <v>-201.4</v>
      </c>
      <c r="K25" s="34">
        <f>D25+F25+G25</f>
        <v>-16.4</v>
      </c>
      <c r="L25" s="34">
        <f>AVERAGE(K22:K25)</f>
        <v>124.1375</v>
      </c>
      <c r="M25" s="17">
        <f>-(J25-G25)+M24</f>
        <v>558.21</v>
      </c>
    </row>
    <row r="26" ht="20.05" customHeight="1">
      <c r="B26" s="30"/>
      <c r="C26" s="16">
        <f>6155-SUM(C24:C25)</f>
        <v>1760.6</v>
      </c>
      <c r="D26" s="17">
        <f>658-SUM(D24:D25)</f>
        <v>219.5</v>
      </c>
      <c r="E26" s="17">
        <v>-105.5</v>
      </c>
      <c r="F26" s="17">
        <f>-291-SUM(F24:F25)</f>
        <v>-92.09999999999999</v>
      </c>
      <c r="G26" s="19">
        <f>-219-SUM(G24:G25)</f>
        <v>-82</v>
      </c>
      <c r="H26" s="17"/>
      <c r="I26" s="17"/>
      <c r="J26" s="17">
        <f>71-SUM(J24:J25)</f>
        <v>414.4</v>
      </c>
      <c r="K26" s="34">
        <f>D26+F26+G26</f>
        <v>45.4</v>
      </c>
      <c r="L26" s="34">
        <f>AVERAGE(K23:K26)</f>
        <v>62.6725</v>
      </c>
      <c r="M26" s="17">
        <f>-(J26-G26)+M25</f>
        <v>61.81</v>
      </c>
    </row>
    <row r="27" ht="20.05" customHeight="1">
      <c r="B27" s="30"/>
      <c r="C27" s="16">
        <v>1684</v>
      </c>
      <c r="D27" s="17">
        <v>286</v>
      </c>
      <c r="E27" s="17">
        <v>-69.09999999999999</v>
      </c>
      <c r="F27" s="17">
        <v>-192</v>
      </c>
      <c r="G27" s="19">
        <v>-49</v>
      </c>
      <c r="H27" s="17"/>
      <c r="I27" s="17"/>
      <c r="J27" s="17">
        <v>-158</v>
      </c>
      <c r="K27" s="34">
        <f>D27+F27+G27</f>
        <v>45</v>
      </c>
      <c r="L27" s="34">
        <f>AVERAGE(K24:K27)</f>
        <v>48.25</v>
      </c>
      <c r="M27" s="17">
        <f>-(J27-G27)+M26</f>
        <v>170.81</v>
      </c>
    </row>
    <row r="28" ht="20.05" customHeight="1">
      <c r="B28" s="31">
        <v>2021</v>
      </c>
      <c r="C28" s="16">
        <v>2058.2</v>
      </c>
      <c r="D28" s="17">
        <v>263</v>
      </c>
      <c r="E28" s="17">
        <v>-72</v>
      </c>
      <c r="F28" s="17">
        <v>-109.2</v>
      </c>
      <c r="G28" s="17">
        <v>-63.2</v>
      </c>
      <c r="H28" s="17">
        <f>-136.7-G28</f>
        <v>-73.5</v>
      </c>
      <c r="I28" s="17"/>
      <c r="J28" s="17">
        <f>-136.7</f>
        <v>-136.7</v>
      </c>
      <c r="K28" s="34">
        <f>D28+F28+G28</f>
        <v>90.59999999999999</v>
      </c>
      <c r="L28" s="34">
        <f>AVERAGE(K25:K28)</f>
        <v>41.15</v>
      </c>
      <c r="M28" s="17">
        <f>-(H28+I28)+M27</f>
        <v>244.31</v>
      </c>
    </row>
    <row r="29" ht="20.05" customHeight="1">
      <c r="B29" s="30"/>
      <c r="C29" s="16">
        <f>3989.4-C28</f>
        <v>1931.2</v>
      </c>
      <c r="D29" s="17">
        <f>312.1-D28</f>
        <v>49.1</v>
      </c>
      <c r="E29" s="17">
        <v>-48.1</v>
      </c>
      <c r="F29" s="17">
        <f>-165.2-F28</f>
        <v>-56</v>
      </c>
      <c r="G29" s="17">
        <f>-135-G28</f>
        <v>-71.8</v>
      </c>
      <c r="H29" s="17">
        <f>-372.259-G29-G28-H28</f>
        <v>-163.759</v>
      </c>
      <c r="I29" s="20"/>
      <c r="J29" s="17">
        <f>-372.3-J28</f>
        <v>-235.6</v>
      </c>
      <c r="K29" s="34">
        <f>D29+F29+G29</f>
        <v>-78.7</v>
      </c>
      <c r="L29" s="34">
        <f>AVERAGE(K26:K29)</f>
        <v>25.575</v>
      </c>
      <c r="M29" s="17">
        <f>-(H29+I29)+M28</f>
        <v>408.069</v>
      </c>
    </row>
    <row r="30" ht="20.05" customHeight="1">
      <c r="B30" s="30"/>
      <c r="C30" s="16">
        <f>5560.5-SUM(C28:C29)</f>
        <v>1571.1</v>
      </c>
      <c r="D30" s="17">
        <f>388.9-SUM(D28:D29)</f>
        <v>76.8</v>
      </c>
      <c r="E30" s="17">
        <f>-190.3-SUM(E28:E29)</f>
        <v>-70.2</v>
      </c>
      <c r="F30" s="17">
        <f>-248.1-SUM(F28:F29)</f>
        <v>-82.90000000000001</v>
      </c>
      <c r="G30" s="17">
        <f>-186.9-SUM(G28:G29)</f>
        <v>-51.9</v>
      </c>
      <c r="H30" s="17">
        <f>-612.954-G30-G29-G28-H29-H28-I30-I29-I28</f>
        <v>-114.07</v>
      </c>
      <c r="I30" s="17">
        <f>-74.725</f>
        <v>-74.72499999999999</v>
      </c>
      <c r="J30" s="17">
        <f>-612.9-SUM(J28:J29)</f>
        <v>-240.6</v>
      </c>
      <c r="K30" s="34">
        <f>D30+F30+G30</f>
        <v>-58</v>
      </c>
      <c r="L30" s="34">
        <f>AVERAGE(K27:K30)</f>
        <v>-0.275</v>
      </c>
      <c r="M30" s="17">
        <f>-(H30+I30)+M29</f>
        <v>596.864</v>
      </c>
    </row>
    <row r="31" ht="20.05" customHeight="1">
      <c r="B31" s="30"/>
      <c r="C31" s="16"/>
      <c r="D31" s="22"/>
      <c r="E31" s="17"/>
      <c r="F31" s="17"/>
      <c r="G31" s="17"/>
      <c r="H31" s="17"/>
      <c r="I31" s="17"/>
      <c r="J31" s="17"/>
      <c r="K31" s="34"/>
      <c r="L31" s="17">
        <f>SUM('Model'!C9:F11)/4</f>
        <v>76.723903478910</v>
      </c>
      <c r="M31" s="17">
        <f>'Model'!F33</f>
        <v>903.759613915640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8.20312" style="35" customWidth="1"/>
    <col min="3" max="11" width="10.8594" style="35" customWidth="1"/>
    <col min="12" max="16384" width="16.3516" style="35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54</v>
      </c>
      <c r="C3" t="s" s="4">
        <v>55</v>
      </c>
      <c r="D3" t="s" s="4">
        <v>56</v>
      </c>
      <c r="E3" t="s" s="4">
        <v>57</v>
      </c>
      <c r="F3" t="s" s="4">
        <v>24</v>
      </c>
      <c r="G3" t="s" s="4">
        <v>12</v>
      </c>
      <c r="H3" t="s" s="4">
        <v>26</v>
      </c>
      <c r="I3" t="s" s="4">
        <v>27</v>
      </c>
      <c r="J3" t="s" s="4">
        <v>58</v>
      </c>
      <c r="K3" t="s" s="4">
        <v>35</v>
      </c>
    </row>
    <row r="4" ht="20.25" customHeight="1">
      <c r="B4" s="25">
        <v>2015</v>
      </c>
      <c r="C4" s="26">
        <v>1086</v>
      </c>
      <c r="D4" s="28">
        <v>4368</v>
      </c>
      <c r="E4" s="28">
        <f>D4-C4</f>
        <v>3282</v>
      </c>
      <c r="F4" s="28">
        <f>2139+11+68</f>
        <v>2218</v>
      </c>
      <c r="G4" s="28">
        <v>1721</v>
      </c>
      <c r="H4" s="28">
        <v>2647</v>
      </c>
      <c r="I4" s="28">
        <f>G4+H4-C4-E4</f>
        <v>0</v>
      </c>
      <c r="J4" s="28">
        <f>C4-G4</f>
        <v>-635</v>
      </c>
      <c r="K4" s="28"/>
    </row>
    <row r="5" ht="20.05" customHeight="1">
      <c r="B5" s="30"/>
      <c r="C5" s="16">
        <v>871</v>
      </c>
      <c r="D5" s="17">
        <v>4349</v>
      </c>
      <c r="E5" s="17">
        <f>D5-C5</f>
        <v>3478</v>
      </c>
      <c r="F5" s="17">
        <f>2123+72+12</f>
        <v>2207</v>
      </c>
      <c r="G5" s="17">
        <v>1921</v>
      </c>
      <c r="H5" s="17">
        <v>2428</v>
      </c>
      <c r="I5" s="17">
        <f>G5+H5-C5-E5</f>
        <v>0</v>
      </c>
      <c r="J5" s="17">
        <f>C5-G5</f>
        <v>-1050</v>
      </c>
      <c r="K5" s="17"/>
    </row>
    <row r="6" ht="20.05" customHeight="1">
      <c r="B6" s="30"/>
      <c r="C6" s="16">
        <v>868</v>
      </c>
      <c r="D6" s="17">
        <v>4308</v>
      </c>
      <c r="E6" s="17">
        <f>D6-C6</f>
        <v>3440</v>
      </c>
      <c r="F6" s="17">
        <f>2162+76+12</f>
        <v>2250</v>
      </c>
      <c r="G6" s="17">
        <v>1785</v>
      </c>
      <c r="H6" s="17">
        <v>2523</v>
      </c>
      <c r="I6" s="17">
        <f>G6+H6-C6-E6</f>
        <v>0</v>
      </c>
      <c r="J6" s="17">
        <f>C6-G6</f>
        <v>-917</v>
      </c>
      <c r="K6" s="17"/>
    </row>
    <row r="7" ht="20.05" customHeight="1">
      <c r="B7" s="30"/>
      <c r="C7" s="16">
        <v>935</v>
      </c>
      <c r="D7" s="17">
        <v>4407</v>
      </c>
      <c r="E7" s="17">
        <f>D7-C7</f>
        <v>3472</v>
      </c>
      <c r="F7" s="17">
        <f>2236+12+78</f>
        <v>2326</v>
      </c>
      <c r="G7" s="17">
        <v>1772</v>
      </c>
      <c r="H7" s="17">
        <v>2635</v>
      </c>
      <c r="I7" s="17">
        <f>G7+H7-C7-E7</f>
        <v>0</v>
      </c>
      <c r="J7" s="17">
        <f>C7-G7</f>
        <v>-837</v>
      </c>
      <c r="K7" s="17"/>
    </row>
    <row r="8" ht="20.05" customHeight="1">
      <c r="B8" s="31">
        <v>2016</v>
      </c>
      <c r="C8" s="16">
        <v>767</v>
      </c>
      <c r="D8" s="17">
        <v>4020</v>
      </c>
      <c r="E8" s="17">
        <f>D8-C8</f>
        <v>3253</v>
      </c>
      <c r="F8" s="17">
        <f>12+79+2294</f>
        <v>2385</v>
      </c>
      <c r="G8" s="17">
        <v>1282</v>
      </c>
      <c r="H8" s="17">
        <v>2738</v>
      </c>
      <c r="I8" s="17">
        <f>G8+H8-C8-E8</f>
        <v>0</v>
      </c>
      <c r="J8" s="17">
        <f>C8-G8</f>
        <v>-515</v>
      </c>
      <c r="K8" s="17"/>
    </row>
    <row r="9" ht="20.05" customHeight="1">
      <c r="B9" s="30"/>
      <c r="C9" s="16">
        <v>775</v>
      </c>
      <c r="D9" s="17">
        <v>3995</v>
      </c>
      <c r="E9" s="17">
        <f>D9-C9</f>
        <v>3220</v>
      </c>
      <c r="F9" s="17">
        <f>2353+83+12</f>
        <v>2448</v>
      </c>
      <c r="G9" s="17">
        <v>1290</v>
      </c>
      <c r="H9" s="17">
        <v>2705</v>
      </c>
      <c r="I9" s="17">
        <f>G9+H9-C9-E9</f>
        <v>0</v>
      </c>
      <c r="J9" s="17">
        <f>C9-G9</f>
        <v>-515</v>
      </c>
      <c r="K9" s="17"/>
    </row>
    <row r="10" ht="20.05" customHeight="1">
      <c r="B10" s="30"/>
      <c r="C10" s="16">
        <v>670</v>
      </c>
      <c r="D10" s="17">
        <v>4099</v>
      </c>
      <c r="E10" s="17">
        <f>D10-C10</f>
        <v>3429</v>
      </c>
      <c r="F10" s="17">
        <f>87+12+2417</f>
        <v>2516</v>
      </c>
      <c r="G10" s="17">
        <v>1361</v>
      </c>
      <c r="H10" s="17">
        <v>2738</v>
      </c>
      <c r="I10" s="17">
        <f>G10+H10-C10-E10</f>
        <v>0</v>
      </c>
      <c r="J10" s="17">
        <f>C10-G10</f>
        <v>-691</v>
      </c>
      <c r="K10" s="17"/>
    </row>
    <row r="11" ht="20.05" customHeight="1">
      <c r="B11" s="30"/>
      <c r="C11" s="16">
        <v>744</v>
      </c>
      <c r="D11" s="17">
        <v>4191</v>
      </c>
      <c r="E11" s="17">
        <f>D11-C11</f>
        <v>3447</v>
      </c>
      <c r="F11" s="17">
        <f>12+2427+92</f>
        <v>2531</v>
      </c>
      <c r="G11" s="17">
        <v>1313</v>
      </c>
      <c r="H11" s="17">
        <v>2878</v>
      </c>
      <c r="I11" s="17">
        <f>G11+H11-C11-E11</f>
        <v>0</v>
      </c>
      <c r="J11" s="17">
        <f>C11-G11</f>
        <v>-569</v>
      </c>
      <c r="K11" s="17"/>
    </row>
    <row r="12" ht="20.05" customHeight="1">
      <c r="B12" s="31">
        <v>2017</v>
      </c>
      <c r="C12" s="16">
        <v>661</v>
      </c>
      <c r="D12" s="17">
        <v>4206</v>
      </c>
      <c r="E12" s="17">
        <f>D12-C12</f>
        <v>3545</v>
      </c>
      <c r="F12" s="17">
        <f>12+2503+96</f>
        <v>2611</v>
      </c>
      <c r="G12" s="17">
        <v>1357</v>
      </c>
      <c r="H12" s="17">
        <v>2849</v>
      </c>
      <c r="I12" s="17">
        <f>G12+H12-C12-E12</f>
        <v>0</v>
      </c>
      <c r="J12" s="17">
        <f>C12-G12</f>
        <v>-696</v>
      </c>
      <c r="K12" s="17"/>
    </row>
    <row r="13" ht="20.05" customHeight="1">
      <c r="B13" s="30"/>
      <c r="C13" s="16">
        <v>624</v>
      </c>
      <c r="D13" s="17">
        <v>4213</v>
      </c>
      <c r="E13" s="17">
        <f>D13-C13</f>
        <v>3589</v>
      </c>
      <c r="F13" s="17">
        <f>98+12+2552</f>
        <v>2662</v>
      </c>
      <c r="G13" s="17">
        <v>1387</v>
      </c>
      <c r="H13" s="17">
        <v>2826</v>
      </c>
      <c r="I13" s="17">
        <f>G13+H13-C13-E13</f>
        <v>0</v>
      </c>
      <c r="J13" s="17">
        <f>C13-G13</f>
        <v>-763</v>
      </c>
      <c r="K13" s="17"/>
    </row>
    <row r="14" ht="20.05" customHeight="1">
      <c r="B14" s="30"/>
      <c r="C14" s="16">
        <v>734</v>
      </c>
      <c r="D14" s="17">
        <v>4413</v>
      </c>
      <c r="E14" s="17">
        <f>D14-C14</f>
        <v>3679</v>
      </c>
      <c r="F14" s="17">
        <f>2627+12+101</f>
        <v>2740</v>
      </c>
      <c r="G14" s="17">
        <v>1516</v>
      </c>
      <c r="H14" s="17">
        <v>2897</v>
      </c>
      <c r="I14" s="17">
        <f>G14+H14-C14-E14</f>
        <v>0</v>
      </c>
      <c r="J14" s="17">
        <f>C14-G14</f>
        <v>-782</v>
      </c>
      <c r="K14" s="17"/>
    </row>
    <row r="15" ht="20.05" customHeight="1">
      <c r="B15" s="30"/>
      <c r="C15" s="16">
        <v>903</v>
      </c>
      <c r="D15" s="17">
        <v>4855</v>
      </c>
      <c r="E15" s="17">
        <f>D15-C15</f>
        <v>3952</v>
      </c>
      <c r="F15" s="17">
        <f>104+13+2690</f>
        <v>2807</v>
      </c>
      <c r="G15" s="17">
        <v>1803</v>
      </c>
      <c r="H15" s="17">
        <v>3052</v>
      </c>
      <c r="I15" s="17">
        <f>G15+H15-C15-E15</f>
        <v>0</v>
      </c>
      <c r="J15" s="17">
        <f>C15-G15</f>
        <v>-900</v>
      </c>
      <c r="K15" s="17"/>
    </row>
    <row r="16" ht="20.05" customHeight="1">
      <c r="B16" s="31">
        <v>2018</v>
      </c>
      <c r="C16" s="16">
        <v>783</v>
      </c>
      <c r="D16" s="17">
        <v>5158</v>
      </c>
      <c r="E16" s="17">
        <f>D16-C16</f>
        <v>4375</v>
      </c>
      <c r="F16" s="17">
        <f>2779+13+107</f>
        <v>2899</v>
      </c>
      <c r="G16" s="17">
        <v>2035</v>
      </c>
      <c r="H16" s="17">
        <v>3123</v>
      </c>
      <c r="I16" s="17">
        <f>G16+H16-C16-E16</f>
        <v>0</v>
      </c>
      <c r="J16" s="17">
        <f>C16-G16</f>
        <v>-1252</v>
      </c>
      <c r="K16" s="17"/>
    </row>
    <row r="17" ht="20.05" customHeight="1">
      <c r="B17" s="30"/>
      <c r="C17" s="16">
        <v>647</v>
      </c>
      <c r="D17" s="17">
        <v>5258</v>
      </c>
      <c r="E17" s="17">
        <f>D17-C17</f>
        <v>4611</v>
      </c>
      <c r="F17" s="17">
        <f>2802+13+109</f>
        <v>2924</v>
      </c>
      <c r="G17" s="17">
        <v>2101</v>
      </c>
      <c r="H17" s="17">
        <v>3157</v>
      </c>
      <c r="I17" s="17">
        <f>G17+H17-C17-E17</f>
        <v>0</v>
      </c>
      <c r="J17" s="17">
        <f>C17-G17</f>
        <v>-1454</v>
      </c>
      <c r="K17" s="17"/>
    </row>
    <row r="18" ht="20.05" customHeight="1">
      <c r="B18" s="30"/>
      <c r="C18" s="16">
        <v>716</v>
      </c>
      <c r="D18" s="17">
        <v>5793</v>
      </c>
      <c r="E18" s="17">
        <f>D18-C18</f>
        <v>5077</v>
      </c>
      <c r="F18" s="17">
        <f>13+110+2892</f>
        <v>3015</v>
      </c>
      <c r="G18" s="17">
        <v>2543</v>
      </c>
      <c r="H18" s="17">
        <v>3250</v>
      </c>
      <c r="I18" s="17">
        <f>G18+H18-C18-E18</f>
        <v>0</v>
      </c>
      <c r="J18" s="17">
        <f>C18-G18</f>
        <v>-1827</v>
      </c>
      <c r="K18" s="17"/>
    </row>
    <row r="19" ht="20.05" customHeight="1">
      <c r="B19" s="30"/>
      <c r="C19" s="16">
        <v>719</v>
      </c>
      <c r="D19" s="17">
        <v>5657</v>
      </c>
      <c r="E19" s="17">
        <f>D19-C19</f>
        <v>4938</v>
      </c>
      <c r="F19" s="17">
        <f>111+2960+13</f>
        <v>3084</v>
      </c>
      <c r="G19" s="17">
        <v>2357</v>
      </c>
      <c r="H19" s="17">
        <v>3300</v>
      </c>
      <c r="I19" s="17">
        <f>G19+H19-C19-E19</f>
        <v>0</v>
      </c>
      <c r="J19" s="17">
        <f>C19-G19</f>
        <v>-1638</v>
      </c>
      <c r="K19" s="17"/>
    </row>
    <row r="20" ht="20.05" customHeight="1">
      <c r="B20" s="31">
        <v>2019</v>
      </c>
      <c r="C20" s="16">
        <v>555</v>
      </c>
      <c r="D20" s="17">
        <v>5887</v>
      </c>
      <c r="E20" s="17">
        <f>D20-C20</f>
        <v>5332</v>
      </c>
      <c r="F20" s="17">
        <f>13+3055+113</f>
        <v>3181</v>
      </c>
      <c r="G20" s="17">
        <v>2511</v>
      </c>
      <c r="H20" s="17">
        <v>3376</v>
      </c>
      <c r="I20" s="17">
        <f>G20+H20-C20-E20</f>
        <v>0</v>
      </c>
      <c r="J20" s="17">
        <f>C20-G20</f>
        <v>-1956</v>
      </c>
      <c r="K20" s="17"/>
    </row>
    <row r="21" ht="20.05" customHeight="1">
      <c r="B21" s="30"/>
      <c r="C21" s="16">
        <v>512</v>
      </c>
      <c r="D21" s="17">
        <v>6068</v>
      </c>
      <c r="E21" s="17">
        <f>D21-C21</f>
        <v>5556</v>
      </c>
      <c r="F21" s="17">
        <f>3145+115+13</f>
        <v>3273</v>
      </c>
      <c r="G21" s="17">
        <v>2696</v>
      </c>
      <c r="H21" s="17">
        <v>3372</v>
      </c>
      <c r="I21" s="17">
        <f>G21+H21-C21-E21</f>
        <v>0</v>
      </c>
      <c r="J21" s="17">
        <f>C21-G21</f>
        <v>-2184</v>
      </c>
      <c r="K21" s="17"/>
    </row>
    <row r="22" ht="20.05" customHeight="1">
      <c r="B22" s="30"/>
      <c r="C22" s="16">
        <v>536</v>
      </c>
      <c r="D22" s="17">
        <v>6176</v>
      </c>
      <c r="E22" s="17">
        <f>D22-C22</f>
        <v>5640</v>
      </c>
      <c r="F22" s="17">
        <f>3212+13+117</f>
        <v>3342</v>
      </c>
      <c r="G22" s="17">
        <v>2721</v>
      </c>
      <c r="H22" s="17">
        <v>3455</v>
      </c>
      <c r="I22" s="17">
        <f>G22+H22-C22-E22</f>
        <v>0</v>
      </c>
      <c r="J22" s="17">
        <f>C22-G22</f>
        <v>-2185</v>
      </c>
      <c r="K22" s="17"/>
    </row>
    <row r="23" ht="20.05" customHeight="1">
      <c r="B23" s="30"/>
      <c r="C23" s="16">
        <v>856</v>
      </c>
      <c r="D23" s="17">
        <v>6805</v>
      </c>
      <c r="E23" s="17">
        <f>D23-C23</f>
        <v>5949</v>
      </c>
      <c r="F23" s="17">
        <f>119+13+3161</f>
        <v>3293</v>
      </c>
      <c r="G23" s="17">
        <v>3228</v>
      </c>
      <c r="H23" s="17">
        <v>3577</v>
      </c>
      <c r="I23" s="17">
        <f>G23+H23-C23-E23</f>
        <v>0</v>
      </c>
      <c r="J23" s="17">
        <f>C23-G23</f>
        <v>-2372</v>
      </c>
      <c r="K23" s="17"/>
    </row>
    <row r="24" ht="20.05" customHeight="1">
      <c r="B24" s="31">
        <v>2020</v>
      </c>
      <c r="C24" s="16">
        <v>949</v>
      </c>
      <c r="D24" s="17">
        <v>7811</v>
      </c>
      <c r="E24" s="17">
        <f>D24-C24</f>
        <v>6862</v>
      </c>
      <c r="F24" s="17">
        <f>13+3258+122</f>
        <v>3393</v>
      </c>
      <c r="G24" s="17">
        <v>4182</v>
      </c>
      <c r="H24" s="17">
        <v>3629</v>
      </c>
      <c r="I24" s="17">
        <f>G24+H24-C24-E24</f>
        <v>0</v>
      </c>
      <c r="J24" s="17">
        <f>C24-G24</f>
        <v>-3233</v>
      </c>
      <c r="K24" s="17"/>
    </row>
    <row r="25" ht="20.05" customHeight="1">
      <c r="B25" s="30"/>
      <c r="C25" s="16">
        <v>758</v>
      </c>
      <c r="D25" s="17">
        <v>7023</v>
      </c>
      <c r="E25" s="17">
        <f>D25-C25</f>
        <v>6265</v>
      </c>
      <c r="F25" s="17">
        <f>124+5+3301</f>
        <v>3430</v>
      </c>
      <c r="G25" s="17">
        <v>3320</v>
      </c>
      <c r="H25" s="17">
        <v>3703</v>
      </c>
      <c r="I25" s="17">
        <f>G25+H25-C25-E25</f>
        <v>0</v>
      </c>
      <c r="J25" s="17">
        <f>C25-G25</f>
        <v>-2562</v>
      </c>
      <c r="K25" s="17"/>
    </row>
    <row r="26" ht="20.05" customHeight="1">
      <c r="B26" s="30"/>
      <c r="C26" s="16">
        <v>1307</v>
      </c>
      <c r="D26" s="17">
        <v>7600</v>
      </c>
      <c r="E26" s="17">
        <f>D26-C26</f>
        <v>6293</v>
      </c>
      <c r="F26" s="17">
        <f>3397+119+4</f>
        <v>3520</v>
      </c>
      <c r="G26" s="17">
        <v>3918</v>
      </c>
      <c r="H26" s="17">
        <v>3682</v>
      </c>
      <c r="I26" s="17">
        <f>G26+H26-C26-E26</f>
        <v>0</v>
      </c>
      <c r="J26" s="17">
        <f>C26-G26</f>
        <v>-2611</v>
      </c>
      <c r="K26" s="17"/>
    </row>
    <row r="27" ht="20.05" customHeight="1">
      <c r="B27" s="30"/>
      <c r="C27" s="16">
        <v>1232</v>
      </c>
      <c r="D27" s="17">
        <v>7563</v>
      </c>
      <c r="E27" s="17">
        <f>D27-C27</f>
        <v>6331</v>
      </c>
      <c r="F27" s="17">
        <f>5+128+3475</f>
        <v>3608</v>
      </c>
      <c r="G27" s="17">
        <v>3822</v>
      </c>
      <c r="H27" s="17">
        <v>3741</v>
      </c>
      <c r="I27" s="17">
        <f>G27+H27-C27-E27</f>
        <v>0</v>
      </c>
      <c r="J27" s="17">
        <f>C27-G27</f>
        <v>-2590</v>
      </c>
      <c r="K27" s="17"/>
    </row>
    <row r="28" ht="20.05" customHeight="1">
      <c r="B28" s="31">
        <v>2021</v>
      </c>
      <c r="C28" s="16">
        <v>1254</v>
      </c>
      <c r="D28" s="17">
        <v>7374</v>
      </c>
      <c r="E28" s="17">
        <f>D28-C28</f>
        <v>6120</v>
      </c>
      <c r="F28" s="17">
        <f>327+5+3563+128+8</f>
        <v>4031</v>
      </c>
      <c r="G28" s="17">
        <v>3632</v>
      </c>
      <c r="H28" s="17">
        <v>3742</v>
      </c>
      <c r="I28" s="17">
        <f>G28+H28-C28-E28</f>
        <v>0</v>
      </c>
      <c r="J28" s="17">
        <f>C28-G28</f>
        <v>-2378</v>
      </c>
      <c r="K28" s="17"/>
    </row>
    <row r="29" ht="20.05" customHeight="1">
      <c r="B29" s="30"/>
      <c r="C29" s="16">
        <v>1011</v>
      </c>
      <c r="D29" s="17">
        <v>7088</v>
      </c>
      <c r="E29" s="17">
        <f>D29-C29</f>
        <v>6077</v>
      </c>
      <c r="F29" s="17">
        <f>387+5+3633+130+8</f>
        <v>4163</v>
      </c>
      <c r="G29" s="17">
        <v>3304</v>
      </c>
      <c r="H29" s="17">
        <v>3784</v>
      </c>
      <c r="I29" s="17">
        <f>G29+H29-C29-E29</f>
        <v>0</v>
      </c>
      <c r="J29" s="17">
        <f>C29-G29</f>
        <v>-2293</v>
      </c>
      <c r="K29" s="17"/>
    </row>
    <row r="30" ht="20.05" customHeight="1">
      <c r="B30" s="30"/>
      <c r="C30" s="16">
        <v>763</v>
      </c>
      <c r="D30" s="17">
        <v>7065</v>
      </c>
      <c r="E30" s="17">
        <f>D30-C30</f>
        <v>6302</v>
      </c>
      <c r="F30" s="17">
        <f>434+5+134+8+3652</f>
        <v>4233</v>
      </c>
      <c r="G30" s="17">
        <v>3352</v>
      </c>
      <c r="H30" s="17">
        <v>3713</v>
      </c>
      <c r="I30" s="17">
        <f>G30+H30-C30-E30</f>
        <v>0</v>
      </c>
      <c r="J30" s="17">
        <f>C30-G30</f>
        <v>-2589</v>
      </c>
      <c r="K30" s="17">
        <f>J30</f>
        <v>-2589</v>
      </c>
    </row>
    <row r="31" ht="20.05" customHeight="1">
      <c r="B31" s="30"/>
      <c r="C31" s="16"/>
      <c r="D31" s="17"/>
      <c r="E31" s="17">
        <f>D31-C31</f>
        <v>0</v>
      </c>
      <c r="F31" s="17"/>
      <c r="G31" s="17"/>
      <c r="H31" s="17"/>
      <c r="I31" s="17"/>
      <c r="J31" s="17"/>
      <c r="K31" s="17">
        <f>'Model'!F31</f>
        <v>-2155.893070259050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6" customWidth="1"/>
    <col min="2" max="4" width="11.0547" style="36" customWidth="1"/>
    <col min="5" max="16384" width="16.3516" style="36" customWidth="1"/>
  </cols>
  <sheetData>
    <row r="1" ht="40" customHeight="1"/>
    <row r="2" ht="28.65" customHeight="1">
      <c r="B2" t="s" s="37">
        <v>59</v>
      </c>
      <c r="C2" s="37"/>
      <c r="D2" s="37"/>
    </row>
    <row r="3" ht="20.25" customHeight="1">
      <c r="B3" s="6"/>
      <c r="C3" t="s" s="38">
        <v>60</v>
      </c>
      <c r="D3" t="s" s="38">
        <v>61</v>
      </c>
    </row>
    <row r="4" ht="20.25" customHeight="1">
      <c r="B4" s="25">
        <v>2014</v>
      </c>
      <c r="C4" s="39">
        <v>406</v>
      </c>
      <c r="D4" s="9"/>
    </row>
    <row r="5" ht="20.05" customHeight="1">
      <c r="B5" s="30"/>
      <c r="C5" s="40">
        <v>434</v>
      </c>
      <c r="D5" s="20"/>
    </row>
    <row r="6" ht="20.05" customHeight="1">
      <c r="B6" s="30"/>
      <c r="C6" s="40">
        <v>490</v>
      </c>
      <c r="D6" s="20"/>
    </row>
    <row r="7" ht="20.05" customHeight="1">
      <c r="B7" s="30"/>
      <c r="C7" s="40">
        <v>510</v>
      </c>
      <c r="D7" s="20"/>
    </row>
    <row r="8" ht="20.05" customHeight="1">
      <c r="B8" s="30"/>
      <c r="C8" s="40">
        <v>575</v>
      </c>
      <c r="D8" s="20"/>
    </row>
    <row r="9" ht="20.05" customHeight="1">
      <c r="B9" s="30"/>
      <c r="C9" s="40">
        <v>635</v>
      </c>
      <c r="D9" s="20"/>
    </row>
    <row r="10" ht="20.05" customHeight="1">
      <c r="B10" s="30"/>
      <c r="C10" s="40">
        <v>670</v>
      </c>
      <c r="D10" s="20"/>
    </row>
    <row r="11" ht="20.05" customHeight="1">
      <c r="B11" s="30"/>
      <c r="C11" s="40">
        <v>680</v>
      </c>
      <c r="D11" s="20"/>
    </row>
    <row r="12" ht="20.05" customHeight="1">
      <c r="B12" s="30"/>
      <c r="C12" s="40">
        <v>630</v>
      </c>
      <c r="D12" s="20"/>
    </row>
    <row r="13" ht="20.05" customHeight="1">
      <c r="B13" s="30"/>
      <c r="C13" s="40">
        <v>520</v>
      </c>
      <c r="D13" s="20"/>
    </row>
    <row r="14" ht="20.05" customHeight="1">
      <c r="B14" s="30"/>
      <c r="C14" s="40">
        <v>670</v>
      </c>
      <c r="D14" s="20"/>
    </row>
    <row r="15" ht="20.05" customHeight="1">
      <c r="B15" s="30"/>
      <c r="C15" s="40">
        <v>685</v>
      </c>
      <c r="D15" s="20"/>
    </row>
    <row r="16" ht="20.05" customHeight="1">
      <c r="B16" s="31">
        <v>2015</v>
      </c>
      <c r="C16" s="40">
        <v>570</v>
      </c>
      <c r="D16" s="20"/>
    </row>
    <row r="17" ht="20.05" customHeight="1">
      <c r="B17" s="30"/>
      <c r="C17" s="40">
        <v>565</v>
      </c>
      <c r="D17" s="20"/>
    </row>
    <row r="18" ht="20.05" customHeight="1">
      <c r="B18" s="30"/>
      <c r="C18" s="40">
        <v>530</v>
      </c>
      <c r="D18" s="20"/>
    </row>
    <row r="19" ht="20.05" customHeight="1">
      <c r="B19" s="30"/>
      <c r="C19" s="40">
        <v>595</v>
      </c>
      <c r="D19" s="20"/>
    </row>
    <row r="20" ht="20.05" customHeight="1">
      <c r="B20" s="30"/>
      <c r="C20" s="40">
        <v>560</v>
      </c>
      <c r="D20" s="20"/>
    </row>
    <row r="21" ht="20.05" customHeight="1">
      <c r="B21" s="30"/>
      <c r="C21" s="40">
        <v>484</v>
      </c>
      <c r="D21" s="20"/>
    </row>
    <row r="22" ht="20.05" customHeight="1">
      <c r="B22" s="30"/>
      <c r="C22" s="40">
        <v>386</v>
      </c>
      <c r="D22" s="20"/>
    </row>
    <row r="23" ht="20.05" customHeight="1">
      <c r="B23" s="30"/>
      <c r="C23" s="40">
        <v>291</v>
      </c>
      <c r="D23" s="20"/>
    </row>
    <row r="24" ht="20.05" customHeight="1">
      <c r="B24" s="30"/>
      <c r="C24" s="40">
        <v>334</v>
      </c>
      <c r="D24" s="20"/>
    </row>
    <row r="25" ht="20.05" customHeight="1">
      <c r="B25" s="30"/>
      <c r="C25" s="40">
        <v>344</v>
      </c>
      <c r="D25" s="20"/>
    </row>
    <row r="26" ht="20.05" customHeight="1">
      <c r="B26" s="30"/>
      <c r="C26" s="40">
        <v>278</v>
      </c>
      <c r="D26" s="20"/>
    </row>
    <row r="27" ht="20.05" customHeight="1">
      <c r="B27" s="30"/>
      <c r="C27" s="40">
        <v>247</v>
      </c>
      <c r="D27" s="20"/>
    </row>
    <row r="28" ht="20.05" customHeight="1">
      <c r="B28" s="31">
        <v>2016</v>
      </c>
      <c r="C28" s="40">
        <v>230</v>
      </c>
      <c r="D28" s="20"/>
    </row>
    <row r="29" ht="20.05" customHeight="1">
      <c r="B29" s="30"/>
      <c r="C29" s="40">
        <v>277</v>
      </c>
      <c r="D29" s="20"/>
    </row>
    <row r="30" ht="20.05" customHeight="1">
      <c r="B30" s="30"/>
      <c r="C30" s="40">
        <v>333</v>
      </c>
      <c r="D30" s="20"/>
    </row>
    <row r="31" ht="20.05" customHeight="1">
      <c r="B31" s="30"/>
      <c r="C31" s="40">
        <v>493</v>
      </c>
      <c r="D31" s="20"/>
    </row>
    <row r="32" ht="20.05" customHeight="1">
      <c r="B32" s="30"/>
      <c r="C32" s="40">
        <v>595</v>
      </c>
      <c r="D32" s="20"/>
    </row>
    <row r="33" ht="20.05" customHeight="1">
      <c r="B33" s="30"/>
      <c r="C33" s="40">
        <v>515</v>
      </c>
      <c r="D33" s="20"/>
    </row>
    <row r="34" ht="20.05" customHeight="1">
      <c r="B34" s="30"/>
      <c r="C34" s="40">
        <v>535</v>
      </c>
      <c r="D34" s="20"/>
    </row>
    <row r="35" ht="20.05" customHeight="1">
      <c r="B35" s="30"/>
      <c r="C35" s="40">
        <v>500</v>
      </c>
      <c r="D35" s="20"/>
    </row>
    <row r="36" ht="20.05" customHeight="1">
      <c r="B36" s="30"/>
      <c r="C36" s="40">
        <v>456</v>
      </c>
      <c r="D36" s="20"/>
    </row>
    <row r="37" ht="20.05" customHeight="1">
      <c r="B37" s="30"/>
      <c r="C37" s="40">
        <v>454</v>
      </c>
      <c r="D37" s="20"/>
    </row>
    <row r="38" ht="20.05" customHeight="1">
      <c r="B38" s="30"/>
      <c r="C38" s="40">
        <v>424</v>
      </c>
      <c r="D38" s="20"/>
    </row>
    <row r="39" ht="20.05" customHeight="1">
      <c r="B39" s="30"/>
      <c r="C39" s="40">
        <v>420</v>
      </c>
      <c r="D39" s="20"/>
    </row>
    <row r="40" ht="20.05" customHeight="1">
      <c r="B40" s="31">
        <v>2017</v>
      </c>
      <c r="C40" s="40">
        <v>432</v>
      </c>
      <c r="D40" s="20"/>
    </row>
    <row r="41" ht="20.05" customHeight="1">
      <c r="B41" s="30"/>
      <c r="C41" s="40">
        <v>428</v>
      </c>
      <c r="D41" s="20"/>
    </row>
    <row r="42" ht="20.05" customHeight="1">
      <c r="B42" s="30"/>
      <c r="C42" s="40">
        <v>388</v>
      </c>
      <c r="D42" s="20"/>
    </row>
    <row r="43" ht="20.05" customHeight="1">
      <c r="B43" s="30"/>
      <c r="C43" s="40">
        <v>378</v>
      </c>
      <c r="D43" s="20"/>
    </row>
    <row r="44" ht="20.05" customHeight="1">
      <c r="B44" s="30"/>
      <c r="C44" s="40">
        <v>308</v>
      </c>
      <c r="D44" s="20"/>
    </row>
    <row r="45" ht="20.05" customHeight="1">
      <c r="B45" s="30"/>
      <c r="C45" s="40">
        <v>274</v>
      </c>
      <c r="D45" s="20"/>
    </row>
    <row r="46" ht="20.05" customHeight="1">
      <c r="B46" s="30"/>
      <c r="C46" s="40">
        <v>268</v>
      </c>
      <c r="D46" s="20"/>
    </row>
    <row r="47" ht="20.05" customHeight="1">
      <c r="B47" s="30"/>
      <c r="C47" s="40">
        <v>254</v>
      </c>
      <c r="D47" s="20"/>
    </row>
    <row r="48" ht="20.05" customHeight="1">
      <c r="B48" s="30"/>
      <c r="C48" s="40">
        <v>304</v>
      </c>
      <c r="D48" s="20"/>
    </row>
    <row r="49" ht="20.05" customHeight="1">
      <c r="B49" s="30"/>
      <c r="C49" s="40">
        <v>308</v>
      </c>
      <c r="D49" s="20"/>
    </row>
    <row r="50" ht="20.05" customHeight="1">
      <c r="B50" s="30"/>
      <c r="C50" s="40">
        <v>376</v>
      </c>
      <c r="D50" s="20"/>
    </row>
    <row r="51" ht="20.05" customHeight="1">
      <c r="B51" s="30"/>
      <c r="C51" s="40">
        <v>372</v>
      </c>
      <c r="D51" s="20"/>
    </row>
    <row r="52" ht="20.05" customHeight="1">
      <c r="B52" s="31">
        <v>2018</v>
      </c>
      <c r="C52" s="40">
        <v>426</v>
      </c>
      <c r="D52" s="20"/>
    </row>
    <row r="53" ht="20.05" customHeight="1">
      <c r="B53" s="30"/>
      <c r="C53" s="40">
        <v>505</v>
      </c>
      <c r="D53" s="20"/>
    </row>
    <row r="54" ht="20.05" customHeight="1">
      <c r="B54" s="30"/>
      <c r="C54" s="40">
        <v>466</v>
      </c>
      <c r="D54" s="20"/>
    </row>
    <row r="55" ht="20.05" customHeight="1">
      <c r="B55" s="30"/>
      <c r="C55" s="40">
        <v>422</v>
      </c>
      <c r="D55" s="20"/>
    </row>
    <row r="56" ht="20.05" customHeight="1">
      <c r="B56" s="30"/>
      <c r="C56" s="40">
        <v>410</v>
      </c>
      <c r="D56" s="20"/>
    </row>
    <row r="57" ht="20.05" customHeight="1">
      <c r="B57" s="30"/>
      <c r="C57" s="40">
        <v>336</v>
      </c>
      <c r="D57" s="20"/>
    </row>
    <row r="58" ht="20.05" customHeight="1">
      <c r="B58" s="30"/>
      <c r="C58" s="40">
        <v>356</v>
      </c>
      <c r="D58" s="20"/>
    </row>
    <row r="59" ht="20.05" customHeight="1">
      <c r="B59" s="30"/>
      <c r="C59" s="40">
        <v>362</v>
      </c>
      <c r="D59" s="20"/>
    </row>
    <row r="60" ht="20.05" customHeight="1">
      <c r="B60" s="30"/>
      <c r="C60" s="40">
        <v>372</v>
      </c>
      <c r="D60" s="20"/>
    </row>
    <row r="61" ht="20.05" customHeight="1">
      <c r="B61" s="30"/>
      <c r="C61" s="40">
        <v>376</v>
      </c>
      <c r="D61" s="20"/>
    </row>
    <row r="62" ht="20.05" customHeight="1">
      <c r="B62" s="30"/>
      <c r="C62" s="40">
        <v>308</v>
      </c>
      <c r="D62" s="20"/>
    </row>
    <row r="63" ht="20.05" customHeight="1">
      <c r="B63" s="30"/>
      <c r="C63" s="40">
        <v>344</v>
      </c>
      <c r="D63" s="20"/>
    </row>
    <row r="64" ht="20.05" customHeight="1">
      <c r="B64" s="31">
        <v>2019</v>
      </c>
      <c r="C64" s="40">
        <v>364</v>
      </c>
      <c r="D64" s="20"/>
    </row>
    <row r="65" ht="20.05" customHeight="1">
      <c r="B65" s="30"/>
      <c r="C65" s="40">
        <v>368</v>
      </c>
      <c r="D65" s="20"/>
    </row>
    <row r="66" ht="20.05" customHeight="1">
      <c r="B66" s="30"/>
      <c r="C66" s="40">
        <v>360</v>
      </c>
      <c r="D66" s="20"/>
    </row>
    <row r="67" ht="20.05" customHeight="1">
      <c r="B67" s="30"/>
      <c r="C67" s="40">
        <v>386</v>
      </c>
      <c r="D67" s="20"/>
    </row>
    <row r="68" ht="20.05" customHeight="1">
      <c r="B68" s="30"/>
      <c r="C68" s="40">
        <v>348</v>
      </c>
      <c r="D68" s="20"/>
    </row>
    <row r="69" ht="20.05" customHeight="1">
      <c r="B69" s="30"/>
      <c r="C69" s="40">
        <v>378</v>
      </c>
      <c r="D69" s="20"/>
    </row>
    <row r="70" ht="20.05" customHeight="1">
      <c r="B70" s="30"/>
      <c r="C70" s="40">
        <v>360</v>
      </c>
      <c r="D70" s="20"/>
    </row>
    <row r="71" ht="20.05" customHeight="1">
      <c r="B71" s="30"/>
      <c r="C71" s="40">
        <v>346</v>
      </c>
      <c r="D71" s="20"/>
    </row>
    <row r="72" ht="20.05" customHeight="1">
      <c r="B72" s="30"/>
      <c r="C72" s="40">
        <v>320</v>
      </c>
      <c r="D72" s="20"/>
    </row>
    <row r="73" ht="20.05" customHeight="1">
      <c r="B73" s="30"/>
      <c r="C73" s="40">
        <v>314</v>
      </c>
      <c r="D73" s="20"/>
    </row>
    <row r="74" ht="20.05" customHeight="1">
      <c r="B74" s="30"/>
      <c r="C74" s="40">
        <v>272</v>
      </c>
      <c r="D74" s="20"/>
    </row>
    <row r="75" ht="20.05" customHeight="1">
      <c r="B75" s="30"/>
      <c r="C75" s="40">
        <v>306</v>
      </c>
      <c r="D75" s="20"/>
    </row>
    <row r="76" ht="20.05" customHeight="1">
      <c r="B76" s="31">
        <v>2020</v>
      </c>
      <c r="C76" s="16">
        <v>258.387726</v>
      </c>
      <c r="D76" s="20"/>
    </row>
    <row r="77" ht="20.05" customHeight="1">
      <c r="B77" s="30"/>
      <c r="C77" s="16">
        <v>197.590622</v>
      </c>
      <c r="D77" s="20"/>
    </row>
    <row r="78" ht="20.05" customHeight="1">
      <c r="B78" s="30"/>
      <c r="C78" s="16">
        <v>143.443192</v>
      </c>
      <c r="D78" s="20"/>
    </row>
    <row r="79" ht="20.05" customHeight="1">
      <c r="B79" s="30"/>
      <c r="C79" s="16">
        <v>186.191162</v>
      </c>
      <c r="D79" s="20"/>
    </row>
    <row r="80" ht="20.05" customHeight="1">
      <c r="B80" s="30"/>
      <c r="C80" s="16">
        <v>187.141113</v>
      </c>
      <c r="D80" s="20"/>
    </row>
    <row r="81" ht="20.05" customHeight="1">
      <c r="B81" s="30"/>
      <c r="C81" s="16">
        <v>208.990082</v>
      </c>
      <c r="D81" s="20"/>
    </row>
    <row r="82" ht="20.05" customHeight="1">
      <c r="B82" s="30"/>
      <c r="C82" s="16">
        <v>228</v>
      </c>
      <c r="D82" s="20"/>
    </row>
    <row r="83" ht="20.05" customHeight="1">
      <c r="B83" s="30"/>
      <c r="C83" s="16">
        <v>244</v>
      </c>
      <c r="D83" s="20"/>
    </row>
    <row r="84" ht="20.05" customHeight="1">
      <c r="B84" s="30"/>
      <c r="C84" s="16">
        <v>194</v>
      </c>
      <c r="D84" s="20"/>
    </row>
    <row r="85" ht="20.05" customHeight="1">
      <c r="B85" s="30"/>
      <c r="C85" s="16">
        <v>212</v>
      </c>
      <c r="D85" s="20"/>
    </row>
    <row r="86" ht="20.05" customHeight="1">
      <c r="B86" s="30"/>
      <c r="C86" s="16">
        <v>294</v>
      </c>
      <c r="D86" s="20"/>
    </row>
    <row r="87" ht="20.05" customHeight="1">
      <c r="B87" s="30"/>
      <c r="C87" s="16">
        <v>352</v>
      </c>
      <c r="D87" s="20"/>
    </row>
    <row r="88" ht="20.05" customHeight="1">
      <c r="B88" s="31">
        <v>2021</v>
      </c>
      <c r="C88" s="16">
        <v>358</v>
      </c>
      <c r="D88" s="20"/>
    </row>
    <row r="89" ht="20.05" customHeight="1">
      <c r="B89" s="30"/>
      <c r="C89" s="16">
        <v>402</v>
      </c>
      <c r="D89" s="20"/>
    </row>
    <row r="90" ht="20.05" customHeight="1">
      <c r="B90" s="30"/>
      <c r="C90" s="16">
        <v>344</v>
      </c>
      <c r="D90" s="20"/>
    </row>
    <row r="91" ht="20.05" customHeight="1">
      <c r="B91" s="30"/>
      <c r="C91" s="16">
        <v>356</v>
      </c>
      <c r="D91" s="20"/>
    </row>
    <row r="92" ht="20.05" customHeight="1">
      <c r="B92" s="30"/>
      <c r="C92" s="16">
        <v>304</v>
      </c>
      <c r="D92" s="20"/>
    </row>
    <row r="93" ht="20.05" customHeight="1">
      <c r="B93" s="30"/>
      <c r="C93" s="16">
        <v>266</v>
      </c>
      <c r="D93" s="20"/>
    </row>
    <row r="94" ht="20.05" customHeight="1">
      <c r="B94" s="30"/>
      <c r="C94" s="16">
        <v>262</v>
      </c>
      <c r="D94" s="20"/>
    </row>
    <row r="95" ht="20.05" customHeight="1">
      <c r="B95" s="30"/>
      <c r="C95" s="16">
        <v>260</v>
      </c>
      <c r="D95" s="20"/>
    </row>
    <row r="96" ht="20.05" customHeight="1">
      <c r="B96" s="30"/>
      <c r="C96" s="16">
        <v>306</v>
      </c>
      <c r="D96" s="20"/>
    </row>
    <row r="97" ht="20.05" customHeight="1">
      <c r="B97" s="30"/>
      <c r="C97" s="16">
        <v>304</v>
      </c>
      <c r="D97" s="20"/>
    </row>
    <row r="98" ht="20.05" customHeight="1">
      <c r="B98" s="30"/>
      <c r="C98" s="16">
        <v>288</v>
      </c>
      <c r="D98" s="19">
        <f>C98</f>
        <v>288</v>
      </c>
    </row>
    <row r="99" ht="20.05" customHeight="1">
      <c r="B99" s="30"/>
      <c r="C99" s="16"/>
      <c r="D99" s="19">
        <f>'Model'!F43</f>
        <v>630.7274272671571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