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Data " sheetId="2" r:id="rId5"/>
  </sheets>
</workbook>
</file>

<file path=xl/sharedStrings.xml><?xml version="1.0" encoding="utf-8"?>
<sst xmlns="http://schemas.openxmlformats.org/spreadsheetml/2006/main" uniqueCount="44">
  <si>
    <t>Model</t>
  </si>
  <si>
    <t>Rpbn</t>
  </si>
  <si>
    <t>4Q 2021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</si>
  <si>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</si>
  <si>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</si>
  <si>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</si>
  <si>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</si>
  <si>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</si>
  <si>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Non cash costs </t>
  </si>
  <si>
    <t xml:space="preserve">Profit </t>
  </si>
  <si>
    <t xml:space="preserve">Operating </t>
  </si>
  <si>
    <t xml:space="preserve">Investment 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</si>
  <si>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</si>
  <si>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</si>
  <si>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</si>
  <si>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</si>
  <si>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</si>
  <si>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</si>
  <si>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</si>
  <si>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Balance sheet </t>
  </si>
  <si>
    <t xml:space="preserve">Other assets </t>
  </si>
  <si>
    <t xml:space="preserve">Depreciation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</si>
  <si>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</si>
  <si>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</si>
  <si>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</si>
  <si>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</si>
  <si>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</si>
  <si>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 xml:space="preserve">P/assets </t>
  </si>
  <si>
    <t xml:space="preserve">Yield </t>
  </si>
  <si>
    <t xml:space="preserve">Payback </t>
  </si>
  <si>
    <t xml:space="preserve">Forecast </t>
  </si>
  <si>
    <t xml:space="preserve">Value </t>
  </si>
  <si>
    <t xml:space="preserve">Shares </t>
  </si>
  <si>
    <t xml:space="preserve">Current </t>
  </si>
  <si>
    <t xml:space="preserve">Target </t>
  </si>
  <si>
    <t xml:space="preserve">V target </t>
  </si>
  <si>
    <t xml:space="preserve">12 month growth </t>
  </si>
  <si>
    <t>Data</t>
  </si>
  <si>
    <t xml:space="preserve">Receipts </t>
  </si>
  <si>
    <t xml:space="preserve">Leases </t>
  </si>
  <si>
    <t xml:space="preserve">Interest </t>
  </si>
  <si>
    <t xml:space="preserve">Assets </t>
  </si>
  <si>
    <t xml:space="preserve">Cashflow costs </t>
  </si>
  <si>
    <t>EDGE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</si>
</sst>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0.0%"/>
    <numFmt numFmtId="60" formatCode="#,##0%"/>
    <numFmt numFmtId="61" formatCode="#,##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60" fontId="0" borderId="3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465508</xdr:colOff>
      <xdr:row>0</xdr:row>
      <xdr:rowOff>335815</xdr:rowOff>
    </xdr:from>
    <xdr:to>
      <xdr:col>11</xdr:col>
      <xdr:colOff>494563</xdr:colOff>
      <xdr:row>40</xdr:row>
      <xdr:rowOff>241816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300908" y="335815"/>
          <a:ext cx="7496656" cy="101930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5" width="8.5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t="s" s="3">
        <v>2</v>
      </c>
      <c r="C2" s="4"/>
      <c r="D2" s="4"/>
      <c r="E2" s="4"/>
    </row>
    <row r="3" ht="20.25" customHeight="1">
      <c r="A3" t="s" s="5">
        <v>3</v>
      </c>
      <c r="B3" s="6">
        <f>AVERAGE('Data '!F3:H3)</f>
        <v>0.106287872055809</v>
      </c>
      <c r="C3" s="7"/>
      <c r="D3" s="7"/>
      <c r="E3" s="8">
        <f>AVERAGE(B4:E4)</f>
        <v>0.075</v>
      </c>
    </row>
    <row r="4" ht="20.05" customHeight="1">
      <c r="A4" t="s" s="9">
        <v>4</v>
      </c>
      <c r="B4" s="10">
        <v>0.13</v>
      </c>
      <c r="C4" s="11">
        <v>-0.03</v>
      </c>
      <c r="D4" s="12">
        <v>0.1</v>
      </c>
      <c r="E4" s="12">
        <v>0.1</v>
      </c>
    </row>
    <row r="5" ht="20.05" customHeight="1">
      <c r="A5" t="s" s="9">
        <v>5</v>
      </c>
      <c r="B5" s="13">
        <f>'Data '!G4*(1+B4)</f>
        <v>185.22282</v>
      </c>
      <c r="C5" s="14">
        <f>B5*(1+C4)</f>
        <v>179.6661354</v>
      </c>
      <c r="D5" s="14">
        <f>C5*(1+D4)</f>
        <v>197.63274894</v>
      </c>
      <c r="E5" s="14">
        <f>D5*(1+E4)</f>
        <v>217.396023834</v>
      </c>
    </row>
    <row r="6" ht="20.05" customHeight="1">
      <c r="A6" t="s" s="9">
        <v>6</v>
      </c>
      <c r="B6" s="15">
        <f>'Data '!H20</f>
        <v>-0.720765670647008</v>
      </c>
      <c r="C6" s="16">
        <f>B6</f>
        <v>-0.720765670647008</v>
      </c>
      <c r="D6" s="16">
        <f>C6</f>
        <v>-0.720765670647008</v>
      </c>
      <c r="E6" s="16">
        <f>D6</f>
        <v>-0.720765670647008</v>
      </c>
    </row>
    <row r="7" ht="20.05" customHeight="1">
      <c r="A7" t="s" s="9">
        <v>7</v>
      </c>
      <c r="B7" s="13">
        <f>B5*B6</f>
        <v>-133.502250076430</v>
      </c>
      <c r="C7" s="17">
        <f>C5*C6</f>
        <v>-129.497182574137</v>
      </c>
      <c r="D7" s="17">
        <f>D5*D6</f>
        <v>-142.446900831551</v>
      </c>
      <c r="E7" s="17">
        <f>E5*E6</f>
        <v>-156.691590914706</v>
      </c>
    </row>
    <row r="8" ht="20.05" customHeight="1">
      <c r="A8" t="s" s="9">
        <v>8</v>
      </c>
      <c r="B8" s="13">
        <f>-'Data '!H18</f>
        <v>-13.047</v>
      </c>
      <c r="C8" s="14">
        <f>B8</f>
        <v>-13.047</v>
      </c>
      <c r="D8" s="14">
        <f>C8</f>
        <v>-13.047</v>
      </c>
      <c r="E8" s="14">
        <f>D8</f>
        <v>-13.047</v>
      </c>
    </row>
    <row r="9" ht="20.05" customHeight="1">
      <c r="A9" t="s" s="9">
        <v>9</v>
      </c>
      <c r="B9" s="13">
        <f>B5+B7+B8</f>
        <v>38.673569923570</v>
      </c>
      <c r="C9" s="17">
        <f>C5+C7+C8</f>
        <v>37.121952825863</v>
      </c>
      <c r="D9" s="17">
        <f>D5+D7+D8</f>
        <v>42.138848108449</v>
      </c>
      <c r="E9" s="17">
        <f>E5+E7+E8</f>
        <v>47.657432919294</v>
      </c>
    </row>
    <row r="10" ht="20.05" customHeight="1">
      <c r="A10" t="s" s="9">
        <v>10</v>
      </c>
      <c r="B10" s="13">
        <f>B5+B7</f>
        <v>51.720569923570</v>
      </c>
      <c r="C10" s="17">
        <f>C5+C7</f>
        <v>50.168952825863</v>
      </c>
      <c r="D10" s="17">
        <f>D5+D7</f>
        <v>55.185848108449</v>
      </c>
      <c r="E10" s="17">
        <f>E5+E7</f>
        <v>60.704432919294</v>
      </c>
    </row>
    <row r="11" ht="20.05" customHeight="1">
      <c r="A11" t="s" s="9">
        <v>11</v>
      </c>
      <c r="B11" s="13">
        <f>'Data '!H9</f>
        <v>-38.108</v>
      </c>
      <c r="C11" s="14">
        <f>B11</f>
        <v>-38.108</v>
      </c>
      <c r="D11" s="14">
        <f>C11</f>
        <v>-38.108</v>
      </c>
      <c r="E11" s="14">
        <f>D11</f>
        <v>-38.108</v>
      </c>
    </row>
    <row r="12" ht="20.05" customHeight="1">
      <c r="A12" t="s" s="9">
        <v>12</v>
      </c>
      <c r="B12" s="18">
        <f>-'Data '!H25/20</f>
        <v>-15.01005</v>
      </c>
      <c r="C12" s="17">
        <f>-B22/20</f>
        <v>-14.2595475</v>
      </c>
      <c r="D12" s="17">
        <f>-C22/20</f>
        <v>-13.546570125</v>
      </c>
      <c r="E12" s="17">
        <f>-D22/20</f>
        <v>-12.869241618750</v>
      </c>
    </row>
    <row r="13" ht="20.05" customHeight="1">
      <c r="A13" t="s" s="9">
        <v>13</v>
      </c>
      <c r="B13" s="13">
        <f>IF(B9&gt;0,-B9*0.6,0)</f>
        <v>-23.204141954142</v>
      </c>
      <c r="C13" s="17">
        <f>IF(C9&gt;0,-C9*0.6,0)</f>
        <v>-22.2731716955178</v>
      </c>
      <c r="D13" s="17">
        <f>IF(D9&gt;0,-D9*0.6,0)</f>
        <v>-25.2833088650694</v>
      </c>
      <c r="E13" s="17">
        <f>IF(E9&gt;0,-E9*0.6,0)</f>
        <v>-28.5944597515764</v>
      </c>
    </row>
    <row r="14" ht="20.05" customHeight="1">
      <c r="A14" t="s" s="9">
        <v>14</v>
      </c>
      <c r="B14" s="18">
        <f>B10+B11+B12+B13</f>
        <v>-24.601622030572</v>
      </c>
      <c r="C14" s="17">
        <f>C10+C11+C12+C13</f>
        <v>-24.4717663696548</v>
      </c>
      <c r="D14" s="17">
        <f>D10+D11+D12+D13</f>
        <v>-21.7520308816204</v>
      </c>
      <c r="E14" s="17">
        <f>E10+E11+E12+E13</f>
        <v>-18.8672684510324</v>
      </c>
    </row>
    <row r="15" ht="20.05" customHeight="1">
      <c r="A15" t="s" s="9">
        <v>15</v>
      </c>
      <c r="B15" s="18">
        <f>-MIN(0,B14)</f>
        <v>24.601622030572</v>
      </c>
      <c r="C15" s="17">
        <f>-MIN(B23,C14)</f>
        <v>24.4717663696548</v>
      </c>
      <c r="D15" s="17">
        <f>-MIN(C23,D14)</f>
        <v>21.7520308816204</v>
      </c>
      <c r="E15" s="17">
        <f>-MIN(D23,E14)</f>
        <v>18.8672684510324</v>
      </c>
    </row>
    <row r="16" ht="20.05" customHeight="1">
      <c r="A16" t="s" s="9">
        <v>16</v>
      </c>
      <c r="B16" s="13">
        <f>'Data '!H16</f>
        <v>295.876</v>
      </c>
      <c r="C16" s="14">
        <f>B18</f>
        <v>295.876</v>
      </c>
      <c r="D16" s="14">
        <f>C18</f>
        <v>295.876</v>
      </c>
      <c r="E16" s="14">
        <f>D18</f>
        <v>295.876</v>
      </c>
    </row>
    <row r="17" ht="20.05" customHeight="1">
      <c r="A17" t="s" s="9">
        <v>17</v>
      </c>
      <c r="B17" s="18">
        <f>B10+B11+B12+B13+B15</f>
        <v>0</v>
      </c>
      <c r="C17" s="17">
        <f>C10+C11+C12+C13+C15</f>
        <v>0</v>
      </c>
      <c r="D17" s="17">
        <f>D10+D11+D12+D13+D15</f>
        <v>0</v>
      </c>
      <c r="E17" s="17">
        <f>E10+E11+E12+E13+E15</f>
        <v>0</v>
      </c>
    </row>
    <row r="18" ht="20.05" customHeight="1">
      <c r="A18" t="s" s="9">
        <v>18</v>
      </c>
      <c r="B18" s="13">
        <f>B16+B17</f>
        <v>295.876</v>
      </c>
      <c r="C18" s="14">
        <f>C16+C17</f>
        <v>295.876</v>
      </c>
      <c r="D18" s="14">
        <f>D16+D17</f>
        <v>295.876</v>
      </c>
      <c r="E18" s="14">
        <f>E16+E17</f>
        <v>295.876</v>
      </c>
    </row>
    <row r="19" ht="20.05" customHeight="1">
      <c r="A19" t="s" s="19">
        <v>19</v>
      </c>
      <c r="B19" s="20"/>
      <c r="C19" s="21"/>
      <c r="D19" s="21"/>
      <c r="E19" s="21"/>
    </row>
    <row r="20" ht="20.05" customHeight="1">
      <c r="A20" t="s" s="9">
        <v>20</v>
      </c>
      <c r="B20" s="18">
        <f>'Data '!H24+'Data '!H23-B11</f>
        <v>1234.833</v>
      </c>
      <c r="C20" s="14">
        <f>B20-C11</f>
        <v>1272.941</v>
      </c>
      <c r="D20" s="14">
        <f>C20-D11</f>
        <v>1311.049</v>
      </c>
      <c r="E20" s="14">
        <f>D20-E11</f>
        <v>1349.157</v>
      </c>
    </row>
    <row r="21" ht="20.05" customHeight="1">
      <c r="A21" t="s" s="9">
        <v>21</v>
      </c>
      <c r="B21" s="18">
        <f>'Data '!H23-B8</f>
        <v>210.537</v>
      </c>
      <c r="C21" s="14">
        <f>B21-C8</f>
        <v>223.584</v>
      </c>
      <c r="D21" s="14">
        <f>C21-D8</f>
        <v>236.631</v>
      </c>
      <c r="E21" s="14">
        <f>D21-E8</f>
        <v>249.678</v>
      </c>
    </row>
    <row r="22" ht="20.05" customHeight="1">
      <c r="A22" t="s" s="9">
        <v>12</v>
      </c>
      <c r="B22" s="18">
        <f>'Data '!H25+B12</f>
        <v>285.19095</v>
      </c>
      <c r="C22" s="17">
        <f>B22+C12</f>
        <v>270.9314025</v>
      </c>
      <c r="D22" s="17">
        <f>C22+D12</f>
        <v>257.384832375</v>
      </c>
      <c r="E22" s="17">
        <f>D22+E12</f>
        <v>244.515590756250</v>
      </c>
    </row>
    <row r="23" ht="20.05" customHeight="1">
      <c r="A23" t="s" s="9">
        <v>15</v>
      </c>
      <c r="B23" s="18">
        <f>B15</f>
        <v>24.601622030572</v>
      </c>
      <c r="C23" s="17">
        <f>B23+C15</f>
        <v>49.0733884002268</v>
      </c>
      <c r="D23" s="17">
        <f>C23+D15</f>
        <v>70.8254192818472</v>
      </c>
      <c r="E23" s="17">
        <f>D23+E15</f>
        <v>89.69268773287961</v>
      </c>
    </row>
    <row r="24" ht="20.05" customHeight="1">
      <c r="A24" t="s" s="9">
        <v>13</v>
      </c>
      <c r="B24" s="13">
        <f>'Data '!H26+B13+B9</f>
        <v>1010.379427969430</v>
      </c>
      <c r="C24" s="14">
        <f>B24+C13+C9</f>
        <v>1025.228209099780</v>
      </c>
      <c r="D24" s="14">
        <f>C24+D13+D9</f>
        <v>1042.083748343160</v>
      </c>
      <c r="E24" s="14">
        <f>D24+E13+E9</f>
        <v>1061.146721510880</v>
      </c>
    </row>
    <row r="25" ht="20.05" customHeight="1">
      <c r="A25" t="s" s="9">
        <v>22</v>
      </c>
      <c r="B25" s="18">
        <f>B22+B23+B24-B18-(B20-B21)</f>
        <v>2e-12</v>
      </c>
      <c r="C25" s="17">
        <f>C22+C23+C24-C18-(C20-C21)</f>
        <v>6.8e-12</v>
      </c>
      <c r="D25" s="17">
        <f>D22+D23+D24-D18-(D20-D21)</f>
        <v>7.2e-12</v>
      </c>
      <c r="E25" s="17">
        <f>E22+E23+E24-E18-(E20-E21)</f>
        <v>9.599999999999999e-12</v>
      </c>
    </row>
    <row r="26" ht="20.05" customHeight="1">
      <c r="A26" t="s" s="9">
        <v>23</v>
      </c>
      <c r="B26" s="18">
        <f>B18-B22-B23</f>
        <v>-13.916572030572</v>
      </c>
      <c r="C26" s="17">
        <f>C18-C22-C23</f>
        <v>-24.1287909002268</v>
      </c>
      <c r="D26" s="17">
        <f>D18-D22-D23</f>
        <v>-32.3342516568472</v>
      </c>
      <c r="E26" s="17">
        <f>E18-E22-E23</f>
        <v>-38.3322784891296</v>
      </c>
    </row>
    <row r="27" ht="20.05" customHeight="1">
      <c r="A27" t="s" s="19">
        <v>24</v>
      </c>
      <c r="B27" s="20"/>
      <c r="C27" s="21"/>
      <c r="D27" s="21"/>
      <c r="E27" s="21"/>
    </row>
    <row r="28" ht="20.05" customHeight="1">
      <c r="A28" t="s" s="9">
        <v>25</v>
      </c>
      <c r="B28" s="13">
        <f>'Data '!H32-(B12+B13)</f>
        <v>-332.926808045858</v>
      </c>
      <c r="C28" s="14">
        <f>B28-(C12+C15+C13)</f>
        <v>-320.865855219995</v>
      </c>
      <c r="D28" s="14">
        <f>C28-(D12+D15+D13)</f>
        <v>-303.788007111546</v>
      </c>
      <c r="E28" s="14">
        <f>D28-(E12+E15+E13)</f>
        <v>-281.191574192252</v>
      </c>
    </row>
    <row r="29" ht="20.05" customHeight="1">
      <c r="A29" t="s" s="9">
        <v>26</v>
      </c>
      <c r="B29" s="20"/>
      <c r="C29" s="21"/>
      <c r="D29" s="21"/>
      <c r="E29" s="14">
        <v>9263</v>
      </c>
    </row>
    <row r="30" ht="20.05" customHeight="1">
      <c r="A30" t="s" s="9">
        <v>27</v>
      </c>
      <c r="B30" s="20"/>
      <c r="C30" s="21"/>
      <c r="D30" s="21"/>
      <c r="E30" s="22">
        <f>E29/(E18+E20-E21)</f>
        <v>6.63845401349477</v>
      </c>
    </row>
    <row r="31" ht="20.05" customHeight="1">
      <c r="A31" t="s" s="9">
        <v>28</v>
      </c>
      <c r="B31" s="20"/>
      <c r="C31" s="21"/>
      <c r="D31" s="21"/>
      <c r="E31" s="16">
        <f>-(B13+C13+D13+E13)/E29</f>
        <v>0.0107260155744689</v>
      </c>
    </row>
    <row r="32" ht="20.05" customHeight="1">
      <c r="A32" t="s" s="9">
        <v>3</v>
      </c>
      <c r="B32" s="20"/>
      <c r="C32" s="21"/>
      <c r="D32" s="21"/>
      <c r="E32" s="14">
        <f>SUM(B10:E11)</f>
        <v>65.347803777176</v>
      </c>
    </row>
    <row r="33" ht="20.05" customHeight="1">
      <c r="A33" t="s" s="9">
        <v>29</v>
      </c>
      <c r="B33" s="20"/>
      <c r="C33" s="21"/>
      <c r="D33" s="21"/>
      <c r="E33" s="23">
        <f>'Data '!H24/E32</f>
        <v>15.2910265111159</v>
      </c>
    </row>
    <row r="34" ht="20.05" customHeight="1">
      <c r="A34" t="s" s="9">
        <v>24</v>
      </c>
      <c r="B34" s="20"/>
      <c r="C34" s="21"/>
      <c r="D34" s="21"/>
      <c r="E34" s="14">
        <f>E29/E32</f>
        <v>141.749216723260</v>
      </c>
    </row>
    <row r="35" ht="20.05" customHeight="1">
      <c r="A35" t="s" s="9">
        <v>30</v>
      </c>
      <c r="B35" s="20"/>
      <c r="C35" s="21"/>
      <c r="D35" s="21"/>
      <c r="E35" s="24">
        <v>100</v>
      </c>
    </row>
    <row r="36" ht="20.05" customHeight="1">
      <c r="A36" t="s" s="9">
        <v>31</v>
      </c>
      <c r="B36" s="20"/>
      <c r="C36" s="21"/>
      <c r="D36" s="21"/>
      <c r="E36" s="17">
        <f>E32*E35</f>
        <v>6534.7803777176</v>
      </c>
    </row>
    <row r="37" ht="20.05" customHeight="1">
      <c r="A37" t="s" s="9">
        <v>32</v>
      </c>
      <c r="B37" s="20"/>
      <c r="C37" s="21"/>
      <c r="D37" s="21"/>
      <c r="E37" s="14">
        <f>E29/E38</f>
        <v>0.404056706652126</v>
      </c>
    </row>
    <row r="38" ht="20.05" customHeight="1">
      <c r="A38" t="s" s="9">
        <v>33</v>
      </c>
      <c r="B38" s="20"/>
      <c r="C38" s="21"/>
      <c r="D38" s="21"/>
      <c r="E38" s="14">
        <f>'Data '!I33</f>
        <v>22925</v>
      </c>
    </row>
    <row r="39" ht="20.05" customHeight="1">
      <c r="A39" t="s" s="9">
        <v>34</v>
      </c>
      <c r="B39" s="20"/>
      <c r="C39" s="21"/>
      <c r="D39" s="21"/>
      <c r="E39" s="14">
        <f>E36/E37</f>
        <v>16172.928873926</v>
      </c>
    </row>
    <row r="40" ht="20.05" customHeight="1">
      <c r="A40" t="s" s="9">
        <v>35</v>
      </c>
      <c r="B40" s="20"/>
      <c r="C40" s="21"/>
      <c r="D40" s="21"/>
      <c r="E40" s="16">
        <f>E39/E38-1</f>
        <v>-0.294528729599738</v>
      </c>
    </row>
    <row r="41" ht="20.05" customHeight="1">
      <c r="A41" t="s" s="9">
        <v>36</v>
      </c>
      <c r="B41" s="20"/>
      <c r="C41" s="21"/>
      <c r="D41" s="21"/>
      <c r="E41" s="16">
        <f>'Data '!H4/106-1</f>
        <v>0.5145188679245279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L3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4.6797" style="25" customWidth="1"/>
    <col min="2" max="12" width="9.875" style="25" customWidth="1"/>
    <col min="13" max="16384" width="16.3516" style="25" customWidth="1"/>
  </cols>
  <sheetData>
    <row r="1" ht="27.65" customHeight="1">
      <c r="A1" t="s" s="2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0.25" customHeight="1">
      <c r="A2" t="s" s="26">
        <v>1</v>
      </c>
      <c r="B2" s="27">
        <v>2017</v>
      </c>
      <c r="C2" s="27">
        <v>2018</v>
      </c>
      <c r="D2" s="27">
        <v>2019</v>
      </c>
      <c r="E2" s="27">
        <v>2020</v>
      </c>
      <c r="F2" s="27">
        <v>2021</v>
      </c>
      <c r="G2" s="28"/>
      <c r="H2" s="4"/>
      <c r="I2" s="28"/>
      <c r="J2" s="27">
        <v>2022</v>
      </c>
      <c r="K2" s="28"/>
      <c r="L2" s="28"/>
    </row>
    <row r="3" ht="20.25" customHeight="1">
      <c r="A3" t="s" s="5">
        <v>4</v>
      </c>
      <c r="B3" s="29"/>
      <c r="C3" s="30">
        <f>(C4/B4-1)/4</f>
        <v>0.108246102628125</v>
      </c>
      <c r="D3" s="30">
        <f>(D4/C4-1)/4</f>
        <v>0.135068692058528</v>
      </c>
      <c r="E3" s="30">
        <f>(E4/D4-1)/4</f>
        <v>0.0949385355269875</v>
      </c>
      <c r="F3" s="30">
        <f>(F4/107.856-1)/4</f>
        <v>0.0430759531226821</v>
      </c>
      <c r="G3" s="30">
        <f>G5/F5-1</f>
        <v>0.296377728566909</v>
      </c>
      <c r="H3" s="30">
        <f>H5/G5-1</f>
        <v>-0.0205900655221641</v>
      </c>
      <c r="I3" s="30"/>
      <c r="J3" s="7"/>
      <c r="K3" s="30"/>
      <c r="L3" s="30"/>
    </row>
    <row r="4" ht="20.05" customHeight="1">
      <c r="A4" t="s" s="19">
        <v>5</v>
      </c>
      <c r="B4" s="13">
        <v>156.195</v>
      </c>
      <c r="C4" s="14">
        <v>223.825</v>
      </c>
      <c r="D4" s="14">
        <v>344.752</v>
      </c>
      <c r="E4" s="14">
        <v>475.673</v>
      </c>
      <c r="F4" s="14">
        <v>126.44</v>
      </c>
      <c r="G4" s="14">
        <f>290.354-F4</f>
        <v>163.914</v>
      </c>
      <c r="H4" s="14">
        <f>450.893-G4-F4</f>
        <v>160.539</v>
      </c>
      <c r="I4" s="21"/>
      <c r="J4" s="21"/>
      <c r="K4" s="21"/>
      <c r="L4" s="14"/>
    </row>
    <row r="5" ht="20.05" customHeight="1">
      <c r="A5" t="s" s="19">
        <v>5</v>
      </c>
      <c r="B5" s="13">
        <f>B4/4</f>
        <v>39.04875</v>
      </c>
      <c r="C5" s="14">
        <f>C4/4</f>
        <v>55.95625</v>
      </c>
      <c r="D5" s="14">
        <f>D4/4</f>
        <v>86.188</v>
      </c>
      <c r="E5" s="14">
        <f>E4/4</f>
        <v>118.91825</v>
      </c>
      <c r="F5" s="14">
        <f>F4</f>
        <v>126.44</v>
      </c>
      <c r="G5" s="14">
        <f>G4</f>
        <v>163.914</v>
      </c>
      <c r="H5" s="14">
        <f>H4</f>
        <v>160.539</v>
      </c>
      <c r="I5" s="14"/>
      <c r="J5" s="14"/>
      <c r="K5" s="14"/>
      <c r="L5" s="14"/>
    </row>
    <row r="6" ht="20.05" customHeight="1">
      <c r="A6" t="s" s="19">
        <v>30</v>
      </c>
      <c r="B6" s="13"/>
      <c r="C6" s="14"/>
      <c r="D6" s="14"/>
      <c r="E6" s="14"/>
      <c r="F6" s="14"/>
      <c r="G6" s="21"/>
      <c r="H6" s="21"/>
      <c r="I6" s="14">
        <f>'Model'!B5</f>
        <v>185.22282</v>
      </c>
      <c r="J6" s="14">
        <f>'Model'!C5</f>
        <v>179.6661354</v>
      </c>
      <c r="K6" s="14">
        <f>'Model'!D5</f>
        <v>197.63274894</v>
      </c>
      <c r="L6" s="14">
        <f>'Model'!E5</f>
        <v>217.396023834</v>
      </c>
    </row>
    <row r="7" ht="20.05" customHeight="1">
      <c r="A7" t="s" s="19">
        <v>38</v>
      </c>
      <c r="B7" s="13">
        <v>156.971</v>
      </c>
      <c r="C7" s="14">
        <v>223.222</v>
      </c>
      <c r="D7" s="14">
        <v>334.634</v>
      </c>
      <c r="E7" s="14">
        <v>445.644</v>
      </c>
      <c r="F7" s="14">
        <v>122.085</v>
      </c>
      <c r="G7" s="14">
        <f>280.682-F7</f>
        <v>158.597</v>
      </c>
      <c r="H7" s="14">
        <f>437.656-G7-F7</f>
        <v>156.974</v>
      </c>
      <c r="I7" s="14"/>
      <c r="J7" s="14"/>
      <c r="K7" s="14"/>
      <c r="L7" s="14"/>
    </row>
    <row r="8" ht="20.05" customHeight="1">
      <c r="A8" t="s" s="19">
        <v>10</v>
      </c>
      <c r="B8" s="13">
        <v>57.434</v>
      </c>
      <c r="C8" s="14">
        <v>84.962</v>
      </c>
      <c r="D8" s="14">
        <v>124.353</v>
      </c>
      <c r="E8" s="14">
        <v>212.95</v>
      </c>
      <c r="F8" s="14">
        <v>6.114</v>
      </c>
      <c r="G8" s="14">
        <f>45.348-F8</f>
        <v>39.234</v>
      </c>
      <c r="H8" s="14">
        <f>71.097-G8-F8</f>
        <v>25.749</v>
      </c>
      <c r="I8" s="14"/>
      <c r="J8" s="14"/>
      <c r="K8" s="14"/>
      <c r="L8" s="14"/>
    </row>
    <row r="9" ht="20.05" customHeight="1">
      <c r="A9" t="s" s="19">
        <v>11</v>
      </c>
      <c r="B9" s="13">
        <v>-25.24</v>
      </c>
      <c r="C9" s="14">
        <v>-84.742</v>
      </c>
      <c r="D9" s="14">
        <v>-36.412</v>
      </c>
      <c r="E9" s="14">
        <v>-157.061</v>
      </c>
      <c r="F9" s="14">
        <v>-112.899</v>
      </c>
      <c r="G9" s="14">
        <f>-437.759-F9</f>
        <v>-324.86</v>
      </c>
      <c r="H9" s="14">
        <f>-475.867-G9-F9</f>
        <v>-38.108</v>
      </c>
      <c r="I9" s="14"/>
      <c r="J9" s="14"/>
      <c r="K9" s="14"/>
      <c r="L9" s="14"/>
    </row>
    <row r="10" ht="20.05" customHeight="1">
      <c r="A10" t="s" s="19">
        <v>39</v>
      </c>
      <c r="B10" s="13"/>
      <c r="C10" s="14"/>
      <c r="D10" s="14"/>
      <c r="E10" s="14">
        <v>-2.058</v>
      </c>
      <c r="F10" s="14"/>
      <c r="G10" s="14">
        <f>-0.868-F10</f>
        <v>-0.868</v>
      </c>
      <c r="H10" s="14">
        <f>-0.958-G10</f>
        <v>-0.09</v>
      </c>
      <c r="I10" s="14"/>
      <c r="J10" s="14"/>
      <c r="K10" s="14"/>
      <c r="L10" s="14"/>
    </row>
    <row r="11" ht="20.05" customHeight="1">
      <c r="A11" t="s" s="19">
        <v>40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ht="20.05" customHeight="1">
      <c r="A12" t="s" s="19">
        <v>12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ht="20.05" customHeight="1">
      <c r="A13" t="s" s="19">
        <v>13</v>
      </c>
      <c r="B13" s="13">
        <v>-108.585</v>
      </c>
      <c r="C13" s="14">
        <v>-0.256</v>
      </c>
      <c r="D13" s="14">
        <v>0.008999999999999999</v>
      </c>
      <c r="E13" s="14">
        <v>-116</v>
      </c>
      <c r="F13" s="14">
        <v>595.973</v>
      </c>
      <c r="G13" s="14">
        <f>595.973-F13</f>
        <v>0</v>
      </c>
      <c r="H13" s="14">
        <f>595.973-G13-F13</f>
        <v>0</v>
      </c>
      <c r="I13" s="14"/>
      <c r="J13" s="14"/>
      <c r="K13" s="14"/>
      <c r="L13" s="14"/>
    </row>
    <row r="14" ht="20.05" customHeight="1">
      <c r="A14" t="s" s="19">
        <v>16</v>
      </c>
      <c r="B14" s="13">
        <f>137.696+28.346</f>
        <v>166.042</v>
      </c>
      <c r="C14" s="14">
        <f>B16+10.643</f>
        <v>100.294</v>
      </c>
      <c r="D14" s="14">
        <f>C16+10.492</f>
        <v>110.75</v>
      </c>
      <c r="E14" s="14">
        <f>D16-30.9</f>
        <v>167.8</v>
      </c>
      <c r="F14" s="14">
        <f>E16</f>
        <v>105.631</v>
      </c>
      <c r="G14" s="14">
        <f>F16</f>
        <v>594.819</v>
      </c>
      <c r="H14" s="14">
        <f>G16</f>
        <v>308.325</v>
      </c>
      <c r="I14" s="14"/>
      <c r="J14" s="14"/>
      <c r="K14" s="14"/>
      <c r="L14" s="14"/>
    </row>
    <row r="15" ht="20.05" customHeight="1">
      <c r="A15" t="s" s="19">
        <v>17</v>
      </c>
      <c r="B15" s="13">
        <f>B8+B9+B10+B11+B12+B13</f>
        <v>-76.39100000000001</v>
      </c>
      <c r="C15" s="14">
        <f>C8+C9+C10+C11+C12+C13</f>
        <v>-0.036</v>
      </c>
      <c r="D15" s="14">
        <f>D8+D9+D10+D11+D12+D13</f>
        <v>87.95</v>
      </c>
      <c r="E15" s="14">
        <f>E8+E9+E10+E11+E12+E13</f>
        <v>-62.169</v>
      </c>
      <c r="F15" s="14">
        <f>F8+F9+F10+F11+F12+F13</f>
        <v>489.188</v>
      </c>
      <c r="G15" s="14">
        <f>G8+G9+G10+G11+G12+G13</f>
        <v>-286.494</v>
      </c>
      <c r="H15" s="14">
        <f>H8+H9+H10+H11+H12+H13</f>
        <v>-12.449</v>
      </c>
      <c r="I15" s="21"/>
      <c r="J15" s="21"/>
      <c r="K15" s="21"/>
      <c r="L15" s="21"/>
    </row>
    <row r="16" ht="20.05" customHeight="1">
      <c r="A16" t="s" s="19">
        <v>18</v>
      </c>
      <c r="B16" s="13">
        <f>B14+B15</f>
        <v>89.651</v>
      </c>
      <c r="C16" s="14">
        <f>C14+C15</f>
        <v>100.258</v>
      </c>
      <c r="D16" s="14">
        <f>D14+D15</f>
        <v>198.7</v>
      </c>
      <c r="E16" s="14">
        <f>E14+E15</f>
        <v>105.631</v>
      </c>
      <c r="F16" s="14">
        <f>F14+F15</f>
        <v>594.819</v>
      </c>
      <c r="G16" s="14">
        <f>G14+G15</f>
        <v>308.325</v>
      </c>
      <c r="H16" s="14">
        <f>H14+H15</f>
        <v>295.876</v>
      </c>
      <c r="I16" s="21"/>
      <c r="J16" s="21"/>
      <c r="K16" s="21"/>
      <c r="L16" s="21"/>
    </row>
    <row r="17" ht="20.05" customHeight="1">
      <c r="A17" s="31"/>
      <c r="B17" s="13"/>
      <c r="C17" s="14"/>
      <c r="D17" s="14"/>
      <c r="E17" s="14"/>
      <c r="F17" s="14"/>
      <c r="G17" s="14"/>
      <c r="H17" s="21"/>
      <c r="I17" s="21"/>
      <c r="J17" s="21"/>
      <c r="K17" s="21"/>
      <c r="L17" s="21"/>
    </row>
    <row r="18" ht="20.05" customHeight="1">
      <c r="A18" t="s" s="19">
        <v>8</v>
      </c>
      <c r="B18" s="13">
        <v>22.95</v>
      </c>
      <c r="C18" s="17">
        <v>25.04</v>
      </c>
      <c r="D18" s="17">
        <v>25.5</v>
      </c>
      <c r="E18" s="17">
        <v>21.8</v>
      </c>
      <c r="F18" s="17">
        <v>11.598</v>
      </c>
      <c r="G18" s="17">
        <f>22.711-F18</f>
        <v>11.113</v>
      </c>
      <c r="H18" s="14">
        <f>35.758-G18-F18</f>
        <v>13.047</v>
      </c>
      <c r="I18" s="14"/>
      <c r="J18" s="14"/>
      <c r="K18" s="14"/>
      <c r="L18" s="14"/>
    </row>
    <row r="19" ht="20.05" customHeight="1">
      <c r="A19" t="s" s="19">
        <v>9</v>
      </c>
      <c r="B19" s="13">
        <v>38</v>
      </c>
      <c r="C19" s="14">
        <v>55.307</v>
      </c>
      <c r="D19" s="14">
        <v>86.82299999999999</v>
      </c>
      <c r="E19" s="14">
        <v>122.018</v>
      </c>
      <c r="F19" s="14">
        <v>20.933</v>
      </c>
      <c r="G19" s="14">
        <f>55.219-F19</f>
        <v>34.286</v>
      </c>
      <c r="H19" s="14">
        <f>87-G19-F19</f>
        <v>31.781</v>
      </c>
      <c r="I19" s="14"/>
      <c r="J19" s="14"/>
      <c r="K19" s="14"/>
      <c r="L19" s="14"/>
    </row>
    <row r="20" ht="20.05" customHeight="1">
      <c r="A20" t="s" s="19">
        <v>6</v>
      </c>
      <c r="B20" s="15">
        <f>(B18+B19-B4)/B4</f>
        <v>-0.609782643490509</v>
      </c>
      <c r="C20" s="16">
        <f>(C18+C19-C4)/C4</f>
        <v>-0.6410275885178151</v>
      </c>
      <c r="D20" s="16">
        <f>(D18+D19-D4)/D4</f>
        <v>-0.674191882860723</v>
      </c>
      <c r="E20" s="16">
        <f>(E18+E19-E4)/E4</f>
        <v>-0.697653640210817</v>
      </c>
      <c r="F20" s="16">
        <f>(F19+F18-F4)/F4</f>
        <v>-0.742715912685859</v>
      </c>
      <c r="G20" s="16">
        <f>(G19+G18-G4)/G4</f>
        <v>-0.7230315897360809</v>
      </c>
      <c r="H20" s="16">
        <f>(H19+H18-H4)/H4</f>
        <v>-0.720765670647008</v>
      </c>
      <c r="I20" s="16">
        <f>'Model'!B6</f>
        <v>-0.720765670647008</v>
      </c>
      <c r="J20" s="16"/>
      <c r="K20" s="16"/>
      <c r="L20" s="16"/>
    </row>
    <row r="21" ht="20.05" customHeight="1">
      <c r="A21" s="3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ht="20.05" customHeight="1">
      <c r="A22" t="s" s="19">
        <v>41</v>
      </c>
      <c r="B22" s="13">
        <v>246.422</v>
      </c>
      <c r="C22" s="14">
        <v>329.045</v>
      </c>
      <c r="D22" s="14">
        <v>458.024</v>
      </c>
      <c r="E22" s="14">
        <v>534.849</v>
      </c>
      <c r="F22" s="14">
        <v>1242.659</v>
      </c>
      <c r="G22" s="14">
        <v>1293.017</v>
      </c>
      <c r="H22" s="14">
        <v>1295.111</v>
      </c>
      <c r="I22" s="14"/>
      <c r="J22" s="14"/>
      <c r="K22" s="14"/>
      <c r="L22" s="14"/>
    </row>
    <row r="23" ht="20.05" customHeight="1">
      <c r="A23" t="s" s="19">
        <v>21</v>
      </c>
      <c r="B23" s="32">
        <v>157.4</v>
      </c>
      <c r="C23" s="17">
        <v>182.1</v>
      </c>
      <c r="D23" s="17">
        <v>206.2</v>
      </c>
      <c r="E23" s="17">
        <v>161</v>
      </c>
      <c r="F23" s="17">
        <v>173.3</v>
      </c>
      <c r="G23" s="17">
        <v>184.4</v>
      </c>
      <c r="H23" s="17">
        <v>197.49</v>
      </c>
      <c r="I23" s="17"/>
      <c r="J23" s="17"/>
      <c r="K23" s="17"/>
      <c r="L23" s="17"/>
    </row>
    <row r="24" ht="20.05" customHeight="1">
      <c r="A24" t="s" s="19">
        <v>20</v>
      </c>
      <c r="B24" s="13">
        <f>B22-B16</f>
        <v>156.771</v>
      </c>
      <c r="C24" s="14">
        <f>C22-C16</f>
        <v>228.787</v>
      </c>
      <c r="D24" s="14">
        <f>D22-D16</f>
        <v>259.324</v>
      </c>
      <c r="E24" s="14">
        <f>E22-E16</f>
        <v>429.218</v>
      </c>
      <c r="F24" s="14">
        <f>F22-F16</f>
        <v>647.84</v>
      </c>
      <c r="G24" s="14">
        <f>G22-G16</f>
        <v>984.692</v>
      </c>
      <c r="H24" s="14">
        <f>H22-H16</f>
        <v>999.235</v>
      </c>
      <c r="I24" s="21"/>
      <c r="J24" s="21"/>
      <c r="K24" s="21"/>
      <c r="L24" s="21"/>
    </row>
    <row r="25" ht="20.05" customHeight="1">
      <c r="A25" t="s" s="19">
        <v>12</v>
      </c>
      <c r="B25" s="13">
        <v>104.966</v>
      </c>
      <c r="C25" s="14">
        <v>112.045</v>
      </c>
      <c r="D25" s="14">
        <v>140.209</v>
      </c>
      <c r="E25" s="14">
        <v>224.386</v>
      </c>
      <c r="F25" s="14">
        <v>314.401</v>
      </c>
      <c r="G25" s="17">
        <v>329.892</v>
      </c>
      <c r="H25" s="17">
        <v>300.201</v>
      </c>
      <c r="I25" s="21"/>
      <c r="J25" s="21"/>
      <c r="K25" s="21"/>
      <c r="L25" s="21"/>
    </row>
    <row r="26" ht="20.05" customHeight="1">
      <c r="A26" t="s" s="19">
        <v>13</v>
      </c>
      <c r="B26" s="13">
        <v>141.455</v>
      </c>
      <c r="C26" s="14">
        <v>217</v>
      </c>
      <c r="D26" s="14">
        <v>317.814</v>
      </c>
      <c r="E26" s="14">
        <v>310.463</v>
      </c>
      <c r="F26" s="14">
        <v>928.258</v>
      </c>
      <c r="G26" s="17">
        <v>963.124</v>
      </c>
      <c r="H26" s="17">
        <v>994.91</v>
      </c>
      <c r="I26" s="21"/>
      <c r="J26" s="21"/>
      <c r="K26" s="21"/>
      <c r="L26" s="21"/>
    </row>
    <row r="27" ht="20.05" customHeight="1">
      <c r="A27" t="s" s="19">
        <v>22</v>
      </c>
      <c r="B27" s="13">
        <f>B25+B26-B16-B24</f>
        <v>-0.001</v>
      </c>
      <c r="C27" s="14">
        <f>C25+C26-C16-C24</f>
        <v>0</v>
      </c>
      <c r="D27" s="14">
        <f>D25+D26-D16-D24</f>
        <v>-0.001</v>
      </c>
      <c r="E27" s="14">
        <f>E25+E26-E16-E24</f>
        <v>0</v>
      </c>
      <c r="F27" s="14">
        <f>F25+F26-F16-F24</f>
        <v>0</v>
      </c>
      <c r="G27" s="14">
        <f>G25+G26-G16-G24</f>
        <v>-0.001</v>
      </c>
      <c r="H27" s="14">
        <f>H25+H26-H16-H24</f>
        <v>0</v>
      </c>
      <c r="I27" s="21"/>
      <c r="J27" s="21"/>
      <c r="K27" s="21"/>
      <c r="L27" s="21"/>
    </row>
    <row r="28" ht="20.05" customHeight="1">
      <c r="A28" t="s" s="19">
        <v>23</v>
      </c>
      <c r="B28" s="13">
        <f>B16-B25</f>
        <v>-15.315</v>
      </c>
      <c r="C28" s="14">
        <f>C16-C25</f>
        <v>-11.787</v>
      </c>
      <c r="D28" s="14">
        <f>D16-D25</f>
        <v>58.491</v>
      </c>
      <c r="E28" s="14">
        <f>E16-E25</f>
        <v>-118.755</v>
      </c>
      <c r="F28" s="14">
        <f>F16-F25</f>
        <v>280.418</v>
      </c>
      <c r="G28" s="14">
        <f>G16-G25</f>
        <v>-21.567</v>
      </c>
      <c r="H28" s="14">
        <f>H16-H25</f>
        <v>-4.325</v>
      </c>
      <c r="I28" s="21"/>
      <c r="J28" s="21"/>
      <c r="K28" s="21"/>
      <c r="L28" s="21"/>
    </row>
    <row r="29" ht="20.05" customHeight="1">
      <c r="A29" t="s" s="19">
        <v>30</v>
      </c>
      <c r="B29" s="15"/>
      <c r="C29" s="16"/>
      <c r="D29" s="16"/>
      <c r="E29" s="16"/>
      <c r="F29" s="21"/>
      <c r="G29" s="21"/>
      <c r="H29" s="14">
        <f>H28</f>
        <v>-4.325</v>
      </c>
      <c r="I29" s="17">
        <f>'Model'!E26</f>
        <v>-38.3322784891296</v>
      </c>
      <c r="J29" s="21"/>
      <c r="K29" s="21"/>
      <c r="L29" s="21"/>
    </row>
    <row r="30" ht="20.05" customHeight="1">
      <c r="A30" t="s" s="19">
        <v>42</v>
      </c>
      <c r="B30" s="15">
        <f>(B8-B7)/B7</f>
        <v>-0.63411075931223</v>
      </c>
      <c r="C30" s="16">
        <f>(C8-C7)/C7</f>
        <v>-0.6193833941099</v>
      </c>
      <c r="D30" s="16">
        <f>(D8-D7)/D7</f>
        <v>-0.628391018246801</v>
      </c>
      <c r="E30" s="16">
        <f>(E8-E7)/E7</f>
        <v>-0.52215221118202</v>
      </c>
      <c r="F30" s="16">
        <f>(F8-F7)/F7</f>
        <v>-0.949920137609043</v>
      </c>
      <c r="G30" s="16">
        <f>(G8-G7)/G7</f>
        <v>-0.752618271467934</v>
      </c>
      <c r="H30" s="16">
        <f>(H8-H7)/H7</f>
        <v>-0.835966465784143</v>
      </c>
      <c r="I30" s="21"/>
      <c r="J30" s="21"/>
      <c r="K30" s="21"/>
      <c r="L30" s="21"/>
    </row>
    <row r="31" ht="20.05" customHeight="1">
      <c r="A31" t="s" s="19">
        <v>3</v>
      </c>
      <c r="B31" s="13">
        <f>SUM(B8:B11)/4</f>
        <v>8.048500000000001</v>
      </c>
      <c r="C31" s="14">
        <f>SUM(C8:C11)/4</f>
        <v>0.055</v>
      </c>
      <c r="D31" s="14">
        <f>SUM(D8:D11)/4</f>
        <v>21.98525</v>
      </c>
      <c r="E31" s="14">
        <f>SUM(E8:E11)/4</f>
        <v>13.45775</v>
      </c>
      <c r="F31" s="14">
        <f>SUM(F8:F11)/2</f>
        <v>-53.3925</v>
      </c>
      <c r="G31" s="14">
        <f>SUM(G8:G11)</f>
        <v>-286.494</v>
      </c>
      <c r="H31" s="14">
        <f>SUM(H8:H11)</f>
        <v>-12.449</v>
      </c>
      <c r="I31" s="14">
        <f>SUM('Model'!E10:E11)</f>
        <v>22.596432919294</v>
      </c>
      <c r="J31" s="14"/>
      <c r="K31" s="14"/>
      <c r="L31" s="14"/>
    </row>
    <row r="32" ht="20.05" customHeight="1">
      <c r="A32" t="s" s="19">
        <v>25</v>
      </c>
      <c r="B32" s="13">
        <f>-(B12+B13)</f>
        <v>108.585</v>
      </c>
      <c r="C32" s="14">
        <f>-(C12+C13)+B32</f>
        <v>108.841</v>
      </c>
      <c r="D32" s="14">
        <f>-(D12+D13)+C32</f>
        <v>108.832</v>
      </c>
      <c r="E32" s="14">
        <f>-(E12+E13)+D32</f>
        <v>224.832</v>
      </c>
      <c r="F32" s="14">
        <f>-(F12+F13)+E32</f>
        <v>-371.141</v>
      </c>
      <c r="G32" s="14">
        <f>-(G12+G13)+F32</f>
        <v>-371.141</v>
      </c>
      <c r="H32" s="14">
        <f>-(H12+H13)+G32</f>
        <v>-371.141</v>
      </c>
      <c r="I32" s="14">
        <f>'Model'!E28</f>
        <v>-281.191574192252</v>
      </c>
      <c r="J32" s="14"/>
      <c r="K32" s="14"/>
      <c r="L32" s="14"/>
    </row>
    <row r="33" ht="20.05" customHeight="1">
      <c r="A33" t="s" s="19">
        <v>43</v>
      </c>
      <c r="B33" s="13"/>
      <c r="C33" s="14"/>
      <c r="D33" s="14"/>
      <c r="E33" s="21"/>
      <c r="F33" s="14">
        <v>11225</v>
      </c>
      <c r="G33" s="14">
        <v>39225</v>
      </c>
      <c r="H33" s="14">
        <v>26375</v>
      </c>
      <c r="I33" s="14">
        <v>22925</v>
      </c>
      <c r="J33" s="14"/>
      <c r="K33" s="14"/>
      <c r="L33" s="14"/>
    </row>
    <row r="34" ht="20.05" customHeight="1">
      <c r="A34" t="s" s="19">
        <v>34</v>
      </c>
      <c r="B34" s="13"/>
      <c r="C34" s="14"/>
      <c r="D34" s="14"/>
      <c r="E34" s="14"/>
      <c r="F34" s="14"/>
      <c r="G34" s="14"/>
      <c r="H34" s="14"/>
      <c r="I34" s="14">
        <f>I33</f>
        <v>22925</v>
      </c>
      <c r="J34" s="14">
        <f>'Model'!E39</f>
        <v>16172.928873926</v>
      </c>
      <c r="K34" s="14"/>
      <c r="L34" s="14"/>
    </row>
  </sheetData>
  <mergeCells count="1">
    <mergeCell ref="A1:L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