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 " sheetId="5" r:id="rId8"/>
    <sheet name="Capital " sheetId="6" r:id="rId9"/>
    <sheet name="CPO" sheetId="7" r:id="rId10"/>
  </sheets>
</workbook>
</file>

<file path=xl/sharedStrings.xml><?xml version="1.0" encoding="utf-8"?>
<sst xmlns="http://schemas.openxmlformats.org/spreadsheetml/2006/main" uniqueCount="94">
  <si>
    <t>Financial model</t>
  </si>
  <si>
    <t>Rpbn</t>
  </si>
  <si>
    <t>4Q 2022</t>
  </si>
  <si>
    <t>Cash flow</t>
  </si>
  <si>
    <t xml:space="preserve">Growth </t>
  </si>
  <si>
    <t xml:space="preserve">Sales </t>
  </si>
  <si>
    <t xml:space="preserve">Cost ratio </t>
  </si>
  <si>
    <t>Cash costs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</si>
  <si>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</si>
  <si>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</si>
  <si>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</si>
  <si>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</si>
  <si>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</si>
  <si>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</si>
  <si>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</si>
  <si>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</si>
  <si>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</si>
  <si>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</si>
  <si>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</si>
  <si>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>Profit</t>
  </si>
  <si>
    <t>Non cash costs</t>
  </si>
  <si>
    <t xml:space="preserve">Net profit </t>
  </si>
  <si>
    <t>Balance sheet</t>
  </si>
  <si>
    <t xml:space="preserve">Other assets </t>
  </si>
  <si>
    <t xml:space="preserve">Depreciation </t>
  </si>
  <si>
    <t xml:space="preserve">Net LT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</si>
  <si>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</si>
  <si>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</si>
  <si>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</si>
  <si>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</si>
  <si>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</si>
  <si>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</si>
  <si>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</si>
  <si>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</si>
  <si>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>Payback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</si>
  <si>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</si>
  <si>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</si>
  <si>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</si>
  <si>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</si>
  <si>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</si>
  <si>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</si>
  <si>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</si>
  <si>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 </t>
  </si>
  <si>
    <t>Sales</t>
  </si>
  <si>
    <t xml:space="preserve">Non cash costs </t>
  </si>
  <si>
    <t>Net profit</t>
  </si>
  <si>
    <t xml:space="preserve">Sales growth </t>
  </si>
  <si>
    <t>Receipts</t>
  </si>
  <si>
    <t xml:space="preserve">Investment </t>
  </si>
  <si>
    <t>Leases</t>
  </si>
  <si>
    <t>Equity</t>
  </si>
  <si>
    <t xml:space="preserve">Free cashflow </t>
  </si>
  <si>
    <t xml:space="preserve">Cash </t>
  </si>
  <si>
    <t xml:space="preserve">Assets </t>
  </si>
  <si>
    <t>Other assets</t>
  </si>
  <si>
    <t xml:space="preserve">Check </t>
  </si>
  <si>
    <t>Share price</t>
  </si>
  <si>
    <t>Date</t>
  </si>
  <si>
    <t>DSNG</t>
  </si>
  <si>
    <t xml:space="preserve">Previous </t>
  </si>
  <si>
    <t>Capital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</si>
  <si>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</si>
  <si>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</si>
  <si>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</si>
  <si>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</si>
  <si>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</si>
  <si>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</si>
  <si>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</si>
  <si>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</si>
  <si>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</si>
  <si>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</si>
  <si>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</si>
  <si>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</si>
  <si>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</si>
  <si>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</si>
  <si>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</si>
  <si>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</si>
  <si>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</si>
  <si>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</si>
  <si>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</si>
  <si>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</si>
  <si>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</si>
  <si>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</si>
  <si>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</si>
  <si>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</si>
  <si>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</si>
  <si>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</si>
  <si>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</si>
  <si>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</si>
  <si>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</si>
  <si>
    <t>Production</t>
  </si>
  <si>
    <t xml:space="preserve">Spending </t>
  </si>
  <si>
    <t>CPO</t>
  </si>
  <si>
    <t>Cost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</si>
</sst>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mmmm"/>
  </numFmts>
  <fonts count="10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sz val="15"/>
      <color indexed="8"/>
      <name val="Helvetica Neue"/>
    </font>
    <font>
      <b val="1"/>
      <sz val="13"/>
      <color indexed="8"/>
      <name val="Helvetica Neue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1"/>
      <color indexed="8"/>
      <name val="Helvetica Neue"/>
    </font>
    <font>
      <b val="1"/>
      <sz val="21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4" fillId="2" borderId="1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right" vertical="top" wrapText="1"/>
    </xf>
    <xf numFmtId="49" fontId="4" fillId="3" borderId="2" applyNumberFormat="1" applyFont="1" applyFill="1" applyBorder="1" applyAlignment="1" applyProtection="0">
      <alignment vertical="top" wrapText="1"/>
    </xf>
    <xf numFmtId="59" fontId="2" borderId="3" applyNumberFormat="1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vertical="top" wrapText="1"/>
    </xf>
    <xf numFmtId="9" fontId="2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9" fontId="2" borderId="6" applyNumberFormat="1" applyFont="1" applyFill="0" applyBorder="1" applyAlignment="1" applyProtection="0">
      <alignment vertical="top" wrapText="1"/>
    </xf>
    <xf numFmtId="9" fontId="2" borderId="7" applyNumberFormat="1" applyFont="1" applyFill="0" applyBorder="1" applyAlignment="1" applyProtection="0">
      <alignment vertical="top" wrapText="1"/>
    </xf>
    <xf numFmtId="38" fontId="2" borderId="6" applyNumberFormat="1" applyFont="1" applyFill="0" applyBorder="1" applyAlignment="1" applyProtection="0">
      <alignment vertical="top" wrapText="1"/>
    </xf>
    <xf numFmtId="38" fontId="2" borderId="7" applyNumberFormat="1" applyFont="1" applyFill="0" applyBorder="1" applyAlignment="1" applyProtection="0">
      <alignment vertical="top" wrapText="1"/>
    </xf>
    <xf numFmtId="3" fontId="2" borderId="6" applyNumberFormat="1" applyFont="1" applyFill="0" applyBorder="1" applyAlignment="1" applyProtection="0">
      <alignment vertical="top" wrapText="1"/>
    </xf>
    <xf numFmtId="3" fontId="2" borderId="7" applyNumberFormat="1" applyFont="1" applyFill="0" applyBorder="1" applyAlignment="1" applyProtection="0">
      <alignment vertical="top" wrapText="1"/>
    </xf>
    <xf numFmtId="60" fontId="2" borderId="6" applyNumberFormat="1" applyFont="1" applyFill="0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0" fontId="2" borderId="6" applyNumberFormat="1" applyFont="1" applyFill="0" applyBorder="1" applyAlignment="1" applyProtection="0">
      <alignment vertical="top" wrapText="1"/>
    </xf>
    <xf numFmtId="0" fontId="2" borderId="7" applyNumberFormat="1" applyFont="1" applyFill="0" applyBorder="1" applyAlignment="1" applyProtection="0">
      <alignment vertical="top" wrapText="1"/>
    </xf>
    <xf numFmtId="0" fontId="2" borderId="7" applyNumberFormat="0" applyFont="1" applyFill="0" applyBorder="1" applyAlignment="1" applyProtection="0">
      <alignment vertical="top" wrapText="1"/>
    </xf>
    <xf numFmtId="49" fontId="5" fillId="3" borderId="5" applyNumberFormat="1" applyFont="1" applyFill="1" applyBorder="1" applyAlignment="1" applyProtection="0">
      <alignment vertical="top" wrapText="1"/>
    </xf>
    <xf numFmtId="4" fontId="2" borderId="7" applyNumberFormat="1" applyFont="1" applyFill="0" applyBorder="1" applyAlignment="1" applyProtection="0">
      <alignment vertical="top" wrapText="1"/>
    </xf>
    <xf numFmtId="59" fontId="2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right" vertical="top" wrapText="1"/>
    </xf>
    <xf numFmtId="0" fontId="6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6" fillId="4" borderId="5" applyNumberFormat="0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6" fillId="4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6" fillId="2" borderId="1" applyNumberFormat="0" applyFont="1" applyFill="1" applyBorder="1" applyAlignment="1" applyProtection="0">
      <alignment horizontal="right"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6" fillId="2" borderId="1" applyNumberFormat="1" applyFont="1" applyFill="1" applyBorder="1" applyAlignment="1" applyProtection="0">
      <alignment vertical="top"/>
    </xf>
    <xf numFmtId="0" fontId="6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6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6" fillId="4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6" fillId="2" borderId="1" applyNumberFormat="0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6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'!$E$3:$E$14</c:f>
              <c:numCache>
                <c:ptCount val="12"/>
                <c:pt idx="0">
                  <c:v>342.000000</c:v>
                </c:pt>
                <c:pt idx="1">
                  <c:v>575.000000</c:v>
                </c:pt>
                <c:pt idx="2">
                  <c:v>1331.000000</c:v>
                </c:pt>
                <c:pt idx="3">
                  <c:v>1381.000000</c:v>
                </c:pt>
                <c:pt idx="4">
                  <c:v>1889.000000</c:v>
                </c:pt>
                <c:pt idx="5">
                  <c:v>2446.000000</c:v>
                </c:pt>
                <c:pt idx="6">
                  <c:v>2658.000000</c:v>
                </c:pt>
                <c:pt idx="7">
                  <c:v>2306.000000</c:v>
                </c:pt>
                <c:pt idx="8">
                  <c:v>3714.000000</c:v>
                </c:pt>
                <c:pt idx="9">
                  <c:v>3561.000000</c:v>
                </c:pt>
                <c:pt idx="10">
                  <c:v>3826.000000</c:v>
                </c:pt>
                <c:pt idx="11">
                  <c:v>2750.000000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'!$F$3:$F$14</c:f>
              <c:numCache>
                <c:ptCount val="12"/>
                <c:pt idx="0">
                  <c:v>0.000000</c:v>
                </c:pt>
                <c:pt idx="1">
                  <c:v>0.000000</c:v>
                </c:pt>
                <c:pt idx="2">
                  <c:v>73.000000</c:v>
                </c:pt>
                <c:pt idx="3">
                  <c:v>458.000000</c:v>
                </c:pt>
                <c:pt idx="4">
                  <c:v>416.000000</c:v>
                </c:pt>
                <c:pt idx="5">
                  <c:v>232.000000</c:v>
                </c:pt>
                <c:pt idx="6">
                  <c:v>174.000000</c:v>
                </c:pt>
                <c:pt idx="7">
                  <c:v>122.000000</c:v>
                </c:pt>
                <c:pt idx="8">
                  <c:v>17.000000</c:v>
                </c:pt>
                <c:pt idx="9">
                  <c:v>-88.000000</c:v>
                </c:pt>
                <c:pt idx="10">
                  <c:v>-140.000000</c:v>
                </c:pt>
                <c:pt idx="11">
                  <c:v>-183.600000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'Capital '!$G$3:$G$14</c:f>
              <c:numCache>
                <c:ptCount val="12"/>
                <c:pt idx="0">
                  <c:v>342.000000</c:v>
                </c:pt>
                <c:pt idx="1">
                  <c:v>575.000000</c:v>
                </c:pt>
                <c:pt idx="2">
                  <c:v>1404.000000</c:v>
                </c:pt>
                <c:pt idx="3">
                  <c:v>1839.000000</c:v>
                </c:pt>
                <c:pt idx="4">
                  <c:v>2305.000000</c:v>
                </c:pt>
                <c:pt idx="5">
                  <c:v>2678.000000</c:v>
                </c:pt>
                <c:pt idx="6">
                  <c:v>2832.000000</c:v>
                </c:pt>
                <c:pt idx="7">
                  <c:v>2428.000000</c:v>
                </c:pt>
                <c:pt idx="8">
                  <c:v>3731.000000</c:v>
                </c:pt>
                <c:pt idx="9">
                  <c:v>3473.000000</c:v>
                </c:pt>
                <c:pt idx="10">
                  <c:v>3686.000000</c:v>
                </c:pt>
                <c:pt idx="11">
                  <c:v>2566.400000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50"/>
        <c:minorUnit val="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725356"/>
          <c:y val="0.0650976"/>
          <c:w val="0.40525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707502</xdr:colOff>
      <xdr:row>2</xdr:row>
      <xdr:rowOff>161013</xdr:rowOff>
    </xdr:from>
    <xdr:to>
      <xdr:col>14</xdr:col>
      <xdr:colOff>699333</xdr:colOff>
      <xdr:row>48</xdr:row>
      <xdr:rowOff>63466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244702" y="747118"/>
          <a:ext cx="9948632" cy="133663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653996</xdr:colOff>
      <xdr:row>18</xdr:row>
      <xdr:rowOff>191872</xdr:rowOff>
    </xdr:from>
    <xdr:to>
      <xdr:col>5</xdr:col>
      <xdr:colOff>477911</xdr:colOff>
      <xdr:row>27</xdr:row>
      <xdr:rowOff>322872</xdr:rowOff>
    </xdr:to>
    <xdr:graphicFrame>
      <xdr:nvGraphicFramePr>
        <xdr:cNvPr id="4" name="2D Line Chart"/>
        <xdr:cNvGraphicFramePr/>
      </xdr:nvGraphicFramePr>
      <xdr:xfrm>
        <a:off x="1581096" y="5128997"/>
        <a:ext cx="3532316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722326</xdr:colOff>
      <xdr:row>15</xdr:row>
      <xdr:rowOff>138405</xdr:rowOff>
    </xdr:from>
    <xdr:to>
      <xdr:col>5</xdr:col>
      <xdr:colOff>409580</xdr:colOff>
      <xdr:row>19</xdr:row>
      <xdr:rowOff>113000</xdr:rowOff>
    </xdr:to>
    <xdr:sp>
      <xdr:nvSpPr>
        <xdr:cNvPr id="5" name="DSNG CAPITAL BACK TO 2015 LEVELS 2.6 TRILLION RUPIAH"/>
        <xdr:cNvSpPr txBox="1"/>
      </xdr:nvSpPr>
      <xdr:spPr>
        <a:xfrm>
          <a:off x="1649426" y="4057625"/>
          <a:ext cx="3395655" cy="12471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DSNG CAPITAL BACK TO 2015 LEVELS </a:t>
          </a:r>
          <a:r>
            <a:rPr b="1" baseline="0" cap="none" i="0" spc="0" strike="noStrike" sz="21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2.6</a:t>
          </a:r>
          <a:r>
            <a:rPr b="1" baseline="0" cap="none" i="0" spc="0" strike="noStrike" sz="2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23.5" customHeight="1" outlineLevelRow="0" outlineLevelCol="0"/>
  <cols>
    <col min="1" max="1" width="8.625" style="1" customWidth="1"/>
    <col min="2" max="2" width="17.9375" style="1" customWidth="1"/>
    <col min="3" max="6" width="11.4922" style="1" customWidth="1"/>
    <col min="7" max="16384" width="16.3516" style="1" customWidth="1"/>
  </cols>
  <sheetData>
    <row r="1" ht="15.6" customHeight="1"/>
    <row r="2" ht="30.55" customHeight="1">
      <c r="B2" t="s" s="2">
        <v>0</v>
      </c>
      <c r="C2" s="2"/>
      <c r="D2" s="2"/>
      <c r="E2" s="2"/>
      <c r="F2" s="2"/>
    </row>
    <row r="3" ht="24.15" customHeight="1">
      <c r="B3" t="s" s="3">
        <v>1</v>
      </c>
      <c r="C3" s="4"/>
      <c r="D3" s="4"/>
      <c r="E3" t="s" s="5">
        <v>2</v>
      </c>
      <c r="F3" s="4"/>
    </row>
    <row r="4" ht="24.15" customHeight="1">
      <c r="B4" t="s" s="6">
        <v>3</v>
      </c>
      <c r="C4" s="7">
        <f>AVERAGE('Sales'!G33:G36)</f>
        <v>0.0115037117968856</v>
      </c>
      <c r="D4" s="8"/>
      <c r="E4" s="8"/>
      <c r="F4" s="9">
        <f>AVERAGE(C5:F5)</f>
        <v>0.045</v>
      </c>
    </row>
    <row r="5" ht="22.95" customHeight="1">
      <c r="B5" t="s" s="10">
        <v>4</v>
      </c>
      <c r="C5" s="11">
        <v>0.07000000000000001</v>
      </c>
      <c r="D5" s="12">
        <v>0.05</v>
      </c>
      <c r="E5" s="12">
        <v>0.07000000000000001</v>
      </c>
      <c r="F5" s="12">
        <v>-0.01</v>
      </c>
    </row>
    <row r="6" ht="22.95" customHeight="1">
      <c r="B6" t="s" s="10">
        <v>5</v>
      </c>
      <c r="C6" s="13">
        <f>'Sales'!C36*(1+C5)</f>
        <v>1760.15</v>
      </c>
      <c r="D6" s="14">
        <f>C6*(1+D5)</f>
        <v>1848.1575</v>
      </c>
      <c r="E6" s="14">
        <f>D6*(1+E5)</f>
        <v>1977.528525</v>
      </c>
      <c r="F6" s="14">
        <f>E6*(1+F5)</f>
        <v>1957.75323975</v>
      </c>
    </row>
    <row r="7" ht="22.95" customHeight="1">
      <c r="B7" t="s" s="10">
        <v>6</v>
      </c>
      <c r="C7" s="11">
        <f>AVERAGE('Sales'!I36)</f>
        <v>-0.795522532123915</v>
      </c>
      <c r="D7" s="12">
        <f>C7</f>
        <v>-0.795522532123915</v>
      </c>
      <c r="E7" s="12">
        <f>D7</f>
        <v>-0.795522532123915</v>
      </c>
      <c r="F7" s="12">
        <f>E7</f>
        <v>-0.795522532123915</v>
      </c>
    </row>
    <row r="8" ht="22.95" customHeight="1">
      <c r="B8" t="s" s="10">
        <v>7</v>
      </c>
      <c r="C8" s="15">
        <f>C6*C7</f>
        <v>-1400.238984917910</v>
      </c>
      <c r="D8" s="16">
        <f>D6*D7</f>
        <v>-1470.2509341638</v>
      </c>
      <c r="E8" s="16">
        <f>E6*E7</f>
        <v>-1573.168499555270</v>
      </c>
      <c r="F8" s="16">
        <f>F6*F7</f>
        <v>-1557.436814559720</v>
      </c>
    </row>
    <row r="9" ht="22.95" customHeight="1">
      <c r="B9" t="s" s="10">
        <v>8</v>
      </c>
      <c r="C9" s="15">
        <f>C6+C8</f>
        <v>359.911015082090</v>
      </c>
      <c r="D9" s="16">
        <f>D6+D8</f>
        <v>377.9065658362</v>
      </c>
      <c r="E9" s="16">
        <f>E6+E8</f>
        <v>404.360025444730</v>
      </c>
      <c r="F9" s="16">
        <f>F6+F8</f>
        <v>400.316425190280</v>
      </c>
    </row>
    <row r="10" ht="22.95" customHeight="1">
      <c r="B10" t="s" s="10">
        <v>9</v>
      </c>
      <c r="C10" s="15">
        <f>AVERAGE('Cashflow'!E36)</f>
        <v>-240.6</v>
      </c>
      <c r="D10" s="16">
        <f>C10</f>
        <v>-240.6</v>
      </c>
      <c r="E10" s="16">
        <f>D10</f>
        <v>-240.6</v>
      </c>
      <c r="F10" s="16">
        <f>E10</f>
        <v>-240.6</v>
      </c>
    </row>
    <row r="11" ht="22.95" customHeight="1">
      <c r="B11" t="s" s="10">
        <v>10</v>
      </c>
      <c r="C11" s="15">
        <f>C12+C15+C13</f>
        <v>-119.311015082090</v>
      </c>
      <c r="D11" s="16">
        <f>D12+D15+D13</f>
        <v>-137.3065658362</v>
      </c>
      <c r="E11" s="16">
        <f>E12+E15+E13</f>
        <v>-163.760025444730</v>
      </c>
      <c r="F11" s="16">
        <f>F12+F15+F13</f>
        <v>-159.716425190280</v>
      </c>
    </row>
    <row r="12" ht="22.95" customHeight="1">
      <c r="B12" t="s" s="10">
        <v>11</v>
      </c>
      <c r="C12" s="15">
        <f>-('Balance sheets '!G36)/20</f>
        <v>-347.05</v>
      </c>
      <c r="D12" s="16">
        <f>-C27/20</f>
        <v>-329.6975</v>
      </c>
      <c r="E12" s="16">
        <f>-D27/20</f>
        <v>-313.212625</v>
      </c>
      <c r="F12" s="16">
        <f>-E27/20</f>
        <v>-297.55199375</v>
      </c>
    </row>
    <row r="13" ht="22.95" customHeight="1">
      <c r="B13" t="s" s="10">
        <v>12</v>
      </c>
      <c r="C13" s="15">
        <f>-MIN(0,C16)</f>
        <v>247.830086426119</v>
      </c>
      <c r="D13" s="16">
        <f>-MIN(C28,D16)</f>
        <v>214.281590747420</v>
      </c>
      <c r="E13" s="16">
        <f>-MIN(D28,E16)</f>
        <v>173.988602099743</v>
      </c>
      <c r="F13" s="16">
        <f>-MIN(E28,F16)</f>
        <v>161.967211078748</v>
      </c>
    </row>
    <row r="14" ht="22.95" customHeight="1">
      <c r="B14" t="s" s="10">
        <v>13</v>
      </c>
      <c r="C14" s="17">
        <v>0.1</v>
      </c>
      <c r="D14" s="16"/>
      <c r="E14" s="16"/>
      <c r="F14" s="16"/>
    </row>
    <row r="15" ht="22.95" customHeight="1">
      <c r="B15" t="s" s="10">
        <v>14</v>
      </c>
      <c r="C15" s="15">
        <f>IF(C9+C10&gt;0,-C22*$C$14,0)</f>
        <v>-20.091101508209</v>
      </c>
      <c r="D15" s="16">
        <f>IF(D9+D10&gt;0,-D22*$C$14,0)</f>
        <v>-21.890656583620</v>
      </c>
      <c r="E15" s="16">
        <f>IF(E9+E10&gt;0,-E22*$C$14,0)</f>
        <v>-24.536002544473</v>
      </c>
      <c r="F15" s="16">
        <f>IF(F9+F10&gt;0,-F22*$C$14,0)</f>
        <v>-24.131642519028</v>
      </c>
    </row>
    <row r="16" ht="22.95" customHeight="1">
      <c r="B16" t="s" s="10">
        <v>15</v>
      </c>
      <c r="C16" s="15">
        <f>C9+C10+C12+C15</f>
        <v>-247.830086426119</v>
      </c>
      <c r="D16" s="16">
        <f>D9+D10+D12+D15</f>
        <v>-214.281590747420</v>
      </c>
      <c r="E16" s="16">
        <f>E9+E10+E12+E15</f>
        <v>-173.988602099743</v>
      </c>
      <c r="F16" s="16">
        <f>F9+F10+F12+F15</f>
        <v>-161.967211078748</v>
      </c>
    </row>
    <row r="17" ht="22.95" customHeight="1">
      <c r="B17" t="s" s="10">
        <v>16</v>
      </c>
      <c r="C17" s="15">
        <f>'Balance sheets '!C36</f>
        <v>385.9</v>
      </c>
      <c r="D17" s="16">
        <f>C19</f>
        <v>385.9</v>
      </c>
      <c r="E17" s="16">
        <f>D19</f>
        <v>385.9</v>
      </c>
      <c r="F17" s="16">
        <f>E19</f>
        <v>385.9</v>
      </c>
    </row>
    <row r="18" ht="22.9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2.95" customHeight="1">
      <c r="B19" t="s" s="10">
        <v>18</v>
      </c>
      <c r="C19" s="15">
        <f>C17+C18</f>
        <v>385.9</v>
      </c>
      <c r="D19" s="16">
        <f>D17+D18</f>
        <v>385.9</v>
      </c>
      <c r="E19" s="16">
        <f>E17+E18</f>
        <v>385.9</v>
      </c>
      <c r="F19" s="16">
        <f>F17+F18</f>
        <v>385.9</v>
      </c>
    </row>
    <row r="20" ht="23.95" customHeight="1">
      <c r="B20" t="s" s="18">
        <v>19</v>
      </c>
      <c r="C20" s="19"/>
      <c r="D20" s="20"/>
      <c r="E20" s="20"/>
      <c r="F20" s="21"/>
    </row>
    <row r="21" ht="22.95" customHeight="1">
      <c r="B21" t="s" s="10">
        <v>20</v>
      </c>
      <c r="C21" s="15">
        <f>-AVERAGE('Sales'!E36)</f>
        <v>-159</v>
      </c>
      <c r="D21" s="16">
        <f>C21</f>
        <v>-159</v>
      </c>
      <c r="E21" s="16">
        <f>D21</f>
        <v>-159</v>
      </c>
      <c r="F21" s="16">
        <f>E21</f>
        <v>-159</v>
      </c>
    </row>
    <row r="22" ht="22.95" customHeight="1">
      <c r="B22" t="s" s="10">
        <v>21</v>
      </c>
      <c r="C22" s="15">
        <f>C6+C8+C21</f>
        <v>200.911015082090</v>
      </c>
      <c r="D22" s="16">
        <f>D6+D8+D21</f>
        <v>218.9065658362</v>
      </c>
      <c r="E22" s="16">
        <f>E6+E8+E21</f>
        <v>245.360025444730</v>
      </c>
      <c r="F22" s="16">
        <f>F6+F8+F21</f>
        <v>241.316425190280</v>
      </c>
    </row>
    <row r="23" ht="23" customHeight="1">
      <c r="B23" t="s" s="22">
        <v>22</v>
      </c>
      <c r="C23" s="19"/>
      <c r="D23" s="20"/>
      <c r="E23" s="20"/>
      <c r="F23" s="16"/>
    </row>
    <row r="24" ht="22.95" customHeight="1">
      <c r="B24" t="s" s="10">
        <v>23</v>
      </c>
      <c r="C24" s="15">
        <f>'Balance sheets '!E36+'Balance sheets '!F36-C10</f>
        <v>18133.7</v>
      </c>
      <c r="D24" s="16">
        <f>C24-D10</f>
        <v>18374.3</v>
      </c>
      <c r="E24" s="16">
        <f>D24-E10</f>
        <v>18614.9</v>
      </c>
      <c r="F24" s="16">
        <f>E24-F10</f>
        <v>18855.5</v>
      </c>
    </row>
    <row r="25" ht="22.95" customHeight="1">
      <c r="B25" t="s" s="10">
        <v>24</v>
      </c>
      <c r="C25" s="15">
        <f>'Balance sheets '!F36-C21</f>
        <v>4263</v>
      </c>
      <c r="D25" s="16">
        <f>C25-D21</f>
        <v>4422</v>
      </c>
      <c r="E25" s="16">
        <f>D25-E21</f>
        <v>4581</v>
      </c>
      <c r="F25" s="16">
        <f>E25-F21</f>
        <v>4740</v>
      </c>
    </row>
    <row r="26" ht="22.95" customHeight="1">
      <c r="B26" t="s" s="10">
        <v>25</v>
      </c>
      <c r="C26" s="15">
        <f>C24-C25</f>
        <v>13870.7</v>
      </c>
      <c r="D26" s="16">
        <f>D24-D25</f>
        <v>13952.3</v>
      </c>
      <c r="E26" s="16">
        <f>E24-E25</f>
        <v>14033.9</v>
      </c>
      <c r="F26" s="16">
        <f>F24-F25</f>
        <v>14115.5</v>
      </c>
    </row>
    <row r="27" ht="22.95" customHeight="1">
      <c r="B27" t="s" s="10">
        <v>11</v>
      </c>
      <c r="C27" s="15">
        <f>'Balance sheets '!G36+C12</f>
        <v>6593.95</v>
      </c>
      <c r="D27" s="16">
        <f>C27+D12</f>
        <v>6264.2525</v>
      </c>
      <c r="E27" s="16">
        <f>D27+E12</f>
        <v>5951.039875</v>
      </c>
      <c r="F27" s="16">
        <f>E27+F12</f>
        <v>5653.48788125</v>
      </c>
    </row>
    <row r="28" ht="22.95" customHeight="1">
      <c r="B28" t="s" s="10">
        <v>12</v>
      </c>
      <c r="C28" s="15">
        <f>C13</f>
        <v>247.830086426119</v>
      </c>
      <c r="D28" s="16">
        <f>C28+D13</f>
        <v>462.111677173539</v>
      </c>
      <c r="E28" s="16">
        <f>D28+E13</f>
        <v>636.100279273282</v>
      </c>
      <c r="F28" s="16">
        <f>E28+F13</f>
        <v>798.0674903520299</v>
      </c>
    </row>
    <row r="29" ht="22.95" customHeight="1">
      <c r="B29" t="s" s="10">
        <v>14</v>
      </c>
      <c r="C29" s="15">
        <f>'Balance sheets '!H36+C22+C15</f>
        <v>7414.819913573880</v>
      </c>
      <c r="D29" s="16">
        <f>C29+D22+D15</f>
        <v>7611.835822826460</v>
      </c>
      <c r="E29" s="16">
        <f>D29+E22+E15</f>
        <v>7832.659845726720</v>
      </c>
      <c r="F29" s="16">
        <f>E29+F22+F15</f>
        <v>8049.844628397970</v>
      </c>
    </row>
    <row r="30" ht="22.95" customHeight="1">
      <c r="B30" t="s" s="10">
        <v>26</v>
      </c>
      <c r="C30" s="15">
        <f>C27+C28+C29-C19-C26</f>
        <v>-1e-12</v>
      </c>
      <c r="D30" s="16">
        <f>D27+D28+D29-D19-D26</f>
        <v>-1e-12</v>
      </c>
      <c r="E30" s="16">
        <f>E27+E28+E29-E19-E26</f>
        <v>2e-12</v>
      </c>
      <c r="F30" s="16">
        <f>F27+F28+F29-F19-F26</f>
        <v>0</v>
      </c>
    </row>
    <row r="31" ht="22.95" customHeight="1">
      <c r="B31" t="s" s="10">
        <v>27</v>
      </c>
      <c r="C31" s="15">
        <f>C19-C27-C28</f>
        <v>-6455.880086426120</v>
      </c>
      <c r="D31" s="16">
        <f>D19-D27-D28</f>
        <v>-6340.464177173540</v>
      </c>
      <c r="E31" s="16">
        <f>E19-E27-E28</f>
        <v>-6201.240154273280</v>
      </c>
      <c r="F31" s="16">
        <f>F19-F27-F28</f>
        <v>-6065.655371602030</v>
      </c>
    </row>
    <row r="32" ht="23.95" customHeight="1">
      <c r="B32" t="s" s="18">
        <v>28</v>
      </c>
      <c r="C32" s="15"/>
      <c r="D32" s="16"/>
      <c r="E32" s="16"/>
      <c r="F32" s="16"/>
    </row>
    <row r="33" ht="22.95" customHeight="1">
      <c r="B33" t="s" s="10">
        <v>29</v>
      </c>
      <c r="C33" s="15">
        <f>'Cashflow'!M36-C11</f>
        <v>-489.188984917910</v>
      </c>
      <c r="D33" s="16">
        <f>C33-D11</f>
        <v>-351.882419081710</v>
      </c>
      <c r="E33" s="16">
        <f>D33-E11</f>
        <v>-188.122393636980</v>
      </c>
      <c r="F33" s="16">
        <f>E33-F11</f>
        <v>-28.4059684467</v>
      </c>
    </row>
    <row r="34" ht="22.95" customHeight="1">
      <c r="B34" t="s" s="10">
        <v>30</v>
      </c>
      <c r="C34" s="15"/>
      <c r="D34" s="16"/>
      <c r="E34" s="16"/>
      <c r="F34" s="16">
        <v>5968814161920</v>
      </c>
    </row>
    <row r="35" ht="22.95" customHeight="1">
      <c r="B35" t="s" s="10">
        <v>30</v>
      </c>
      <c r="C35" s="15"/>
      <c r="D35" s="16"/>
      <c r="E35" s="16"/>
      <c r="F35" s="16">
        <f>F34/1000000000</f>
        <v>5968.81416192</v>
      </c>
    </row>
    <row r="36" ht="22.95" customHeight="1">
      <c r="B36" t="s" s="10">
        <v>31</v>
      </c>
      <c r="C36" s="15"/>
      <c r="D36" s="16"/>
      <c r="E36" s="16"/>
      <c r="F36" s="23">
        <f>F35/(F19+F26)</f>
        <v>0.41160261505234</v>
      </c>
    </row>
    <row r="37" ht="22.95" customHeight="1">
      <c r="B37" t="s" s="10">
        <v>32</v>
      </c>
      <c r="C37" s="15"/>
      <c r="D37" s="16"/>
      <c r="E37" s="16"/>
      <c r="F37" s="24">
        <f>-(C15+D15+E15+F15)/F35</f>
        <v>0.0151871713034153</v>
      </c>
    </row>
    <row r="38" ht="22.95" customHeight="1">
      <c r="B38" t="s" s="10">
        <v>33</v>
      </c>
      <c r="C38" s="15"/>
      <c r="D38" s="16"/>
      <c r="E38" s="16"/>
      <c r="F38" s="16">
        <f>SUM(C9:F10)</f>
        <v>580.0940315533001</v>
      </c>
    </row>
    <row r="39" ht="22.95" customHeight="1">
      <c r="B39" t="s" s="10">
        <v>34</v>
      </c>
      <c r="C39" s="15"/>
      <c r="D39" s="16"/>
      <c r="E39" s="16"/>
      <c r="F39" s="16">
        <f>'Balance sheets '!E36/F38</f>
        <v>23.7704565983507</v>
      </c>
    </row>
    <row r="40" ht="22.95" customHeight="1">
      <c r="B40" t="s" s="10">
        <v>28</v>
      </c>
      <c r="C40" s="15"/>
      <c r="D40" s="16"/>
      <c r="E40" s="16"/>
      <c r="F40" s="16">
        <f>F35/F38</f>
        <v>10.2893907491816</v>
      </c>
    </row>
    <row r="41" ht="22.95" customHeight="1">
      <c r="B41" t="s" s="10">
        <v>35</v>
      </c>
      <c r="C41" s="15"/>
      <c r="D41" s="16"/>
      <c r="E41" s="16"/>
      <c r="F41" s="16">
        <v>12</v>
      </c>
    </row>
    <row r="42" ht="22.95" customHeight="1">
      <c r="B42" t="s" s="10">
        <v>36</v>
      </c>
      <c r="C42" s="15"/>
      <c r="D42" s="16"/>
      <c r="E42" s="16"/>
      <c r="F42" s="16">
        <f>F38*F41</f>
        <v>6961.1283786396</v>
      </c>
    </row>
    <row r="43" ht="22.95" customHeight="1">
      <c r="B43" t="s" s="10">
        <v>37</v>
      </c>
      <c r="C43" s="15"/>
      <c r="D43" s="16"/>
      <c r="E43" s="16"/>
      <c r="F43" s="16">
        <f>F35/F45</f>
        <v>9.627119616</v>
      </c>
    </row>
    <row r="44" ht="22.95" customHeight="1">
      <c r="B44" t="s" s="10">
        <v>38</v>
      </c>
      <c r="C44" s="15"/>
      <c r="D44" s="16"/>
      <c r="E44" s="16"/>
      <c r="F44" s="16">
        <f>F42/F43</f>
        <v>723.074881823469</v>
      </c>
    </row>
    <row r="45" ht="22.95" customHeight="1">
      <c r="B45" t="s" s="10">
        <v>39</v>
      </c>
      <c r="C45" s="15"/>
      <c r="D45" s="16"/>
      <c r="E45" s="16"/>
      <c r="F45" s="16">
        <v>620</v>
      </c>
    </row>
    <row r="46" ht="22.95" customHeight="1">
      <c r="B46" t="s" s="10">
        <v>40</v>
      </c>
      <c r="C46" s="15"/>
      <c r="D46" s="16"/>
      <c r="E46" s="16"/>
      <c r="F46" s="24">
        <f>F44/F45-1</f>
        <v>0.166249809392692</v>
      </c>
    </row>
    <row r="47" ht="22.95" customHeight="1">
      <c r="B47" t="s" s="10">
        <v>41</v>
      </c>
      <c r="C47" s="15"/>
      <c r="D47" s="16"/>
      <c r="E47" s="16"/>
      <c r="F47" s="24">
        <f>'Sales'!C36/'Sales'!C32-1</f>
        <v>0.00513259195893926</v>
      </c>
    </row>
    <row r="48" ht="22.95" customHeight="1">
      <c r="B48" t="s" s="10">
        <v>42</v>
      </c>
      <c r="C48" s="15"/>
      <c r="D48" s="16"/>
      <c r="E48" s="16"/>
      <c r="F48" s="24">
        <f>'Sales'!F39/'Sales'!E39-1</f>
        <v>0.0515382880463967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4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5" style="25" customWidth="1"/>
    <col min="2" max="2" width="6.51562" style="25" customWidth="1"/>
    <col min="3" max="10" width="10.875" style="25" customWidth="1"/>
    <col min="11" max="16384" width="16.3516" style="25" customWidth="1"/>
  </cols>
  <sheetData>
    <row r="1" ht="36.05" customHeight="1"/>
    <row r="2" ht="27.65" customHeight="1">
      <c r="B2" t="s" s="26">
        <v>43</v>
      </c>
      <c r="C2" s="26"/>
      <c r="D2" s="26"/>
      <c r="E2" s="26"/>
      <c r="F2" s="26"/>
      <c r="G2" s="26"/>
      <c r="H2" s="26"/>
      <c r="I2" s="26"/>
      <c r="J2" s="26"/>
    </row>
    <row r="3" ht="32.25" customHeight="1">
      <c r="B3" t="s" s="27">
        <v>1</v>
      </c>
      <c r="C3" t="s" s="27">
        <v>43</v>
      </c>
      <c r="D3" t="s" s="27">
        <v>35</v>
      </c>
      <c r="E3" t="s" s="27">
        <v>44</v>
      </c>
      <c r="F3" t="s" s="27">
        <v>45</v>
      </c>
      <c r="G3" t="s" s="27">
        <v>46</v>
      </c>
      <c r="H3" t="s" s="27">
        <v>6</v>
      </c>
      <c r="I3" t="s" s="27">
        <v>6</v>
      </c>
      <c r="J3" t="s" s="27">
        <v>35</v>
      </c>
    </row>
    <row r="4" ht="20.25" customHeight="1">
      <c r="B4" s="28">
        <v>2014</v>
      </c>
      <c r="C4" s="29">
        <v>1238</v>
      </c>
      <c r="D4" s="30"/>
      <c r="E4" s="30">
        <v>48</v>
      </c>
      <c r="F4" s="30">
        <v>151</v>
      </c>
      <c r="G4" s="31"/>
      <c r="H4" s="32">
        <f>(E4+F4-C4)/C4</f>
        <v>-0.8392568659127631</v>
      </c>
      <c r="I4" s="31"/>
      <c r="J4" s="31"/>
    </row>
    <row r="5" ht="20.05" customHeight="1">
      <c r="B5" s="33"/>
      <c r="C5" s="34">
        <v>1326</v>
      </c>
      <c r="D5" s="35"/>
      <c r="E5" s="35">
        <v>50</v>
      </c>
      <c r="F5" s="35">
        <v>216</v>
      </c>
      <c r="G5" s="36">
        <f>C5/C4-1</f>
        <v>0.07108239095315021</v>
      </c>
      <c r="H5" s="36">
        <f>(E5+F5-C5)/C5</f>
        <v>-0.799396681749623</v>
      </c>
      <c r="I5" s="37"/>
      <c r="J5" s="37"/>
    </row>
    <row r="6" ht="20.05" customHeight="1">
      <c r="B6" s="33"/>
      <c r="C6" s="34">
        <v>1162</v>
      </c>
      <c r="D6" s="35"/>
      <c r="E6" s="35">
        <v>49</v>
      </c>
      <c r="F6" s="35">
        <v>154</v>
      </c>
      <c r="G6" s="36">
        <f>C6/C5-1</f>
        <v>-0.1236802413273</v>
      </c>
      <c r="H6" s="36">
        <f>(E6+F6-C6)/C6</f>
        <v>-0.825301204819277</v>
      </c>
      <c r="I6" s="37"/>
      <c r="J6" s="37"/>
    </row>
    <row r="7" ht="20.05" customHeight="1">
      <c r="B7" s="33"/>
      <c r="C7" s="34">
        <v>1172</v>
      </c>
      <c r="D7" s="35"/>
      <c r="E7" s="35">
        <v>49</v>
      </c>
      <c r="F7" s="35">
        <v>128</v>
      </c>
      <c r="G7" s="36">
        <f>C7/C6-1</f>
        <v>0.00860585197934596</v>
      </c>
      <c r="H7" s="36">
        <f>(E7+F7-C7)/C7</f>
        <v>-0.848976109215017</v>
      </c>
      <c r="I7" s="37"/>
      <c r="J7" s="37"/>
    </row>
    <row r="8" ht="20.05" customHeight="1">
      <c r="B8" s="38">
        <v>2015</v>
      </c>
      <c r="C8" s="34">
        <v>1024</v>
      </c>
      <c r="D8" s="35"/>
      <c r="E8" s="35">
        <v>56</v>
      </c>
      <c r="F8" s="35">
        <v>58</v>
      </c>
      <c r="G8" s="36">
        <f>C8/C7-1</f>
        <v>-0.126279863481229</v>
      </c>
      <c r="H8" s="36">
        <f>(E8+F8-C8)/C8</f>
        <v>-0.888671875</v>
      </c>
      <c r="I8" s="36"/>
      <c r="J8" s="36"/>
    </row>
    <row r="9" ht="20.05" customHeight="1">
      <c r="B9" s="33"/>
      <c r="C9" s="34">
        <v>1223</v>
      </c>
      <c r="D9" s="35"/>
      <c r="E9" s="35">
        <v>57</v>
      </c>
      <c r="F9" s="35">
        <v>116</v>
      </c>
      <c r="G9" s="36">
        <f>C9/C8-1</f>
        <v>0.1943359375</v>
      </c>
      <c r="H9" s="36">
        <f>(E9+F9-C9)/C9</f>
        <v>-0.858544562551104</v>
      </c>
      <c r="I9" s="36"/>
      <c r="J9" s="36"/>
    </row>
    <row r="10" ht="20.05" customHeight="1">
      <c r="B10" s="33"/>
      <c r="C10" s="34">
        <v>1053</v>
      </c>
      <c r="D10" s="35"/>
      <c r="E10" s="35">
        <v>58</v>
      </c>
      <c r="F10" s="35">
        <v>-49</v>
      </c>
      <c r="G10" s="36">
        <f>C10/C9-1</f>
        <v>-0.139002452984464</v>
      </c>
      <c r="H10" s="36">
        <f>(E10+F10-C10)/C10</f>
        <v>-0.991452991452991</v>
      </c>
      <c r="I10" s="36"/>
      <c r="J10" s="36"/>
    </row>
    <row r="11" ht="20.05" customHeight="1">
      <c r="B11" s="33"/>
      <c r="C11" s="34">
        <v>1125</v>
      </c>
      <c r="D11" s="35"/>
      <c r="E11" s="35">
        <v>53</v>
      </c>
      <c r="F11" s="35">
        <v>178</v>
      </c>
      <c r="G11" s="36">
        <f>C11/C10-1</f>
        <v>0.0683760683760684</v>
      </c>
      <c r="H11" s="36">
        <f>(E11+F11-C11)/C11</f>
        <v>-0.794666666666667</v>
      </c>
      <c r="I11" s="36"/>
      <c r="J11" s="36"/>
    </row>
    <row r="12" ht="20.05" customHeight="1">
      <c r="B12" s="38">
        <v>2016</v>
      </c>
      <c r="C12" s="34">
        <v>780</v>
      </c>
      <c r="D12" s="35"/>
      <c r="E12" s="35">
        <v>56</v>
      </c>
      <c r="F12" s="35">
        <v>20</v>
      </c>
      <c r="G12" s="36">
        <f>C12/C11-1</f>
        <v>-0.306666666666667</v>
      </c>
      <c r="H12" s="36">
        <f>(E12+F12-C12)/C12</f>
        <v>-0.902564102564103</v>
      </c>
      <c r="I12" s="36"/>
      <c r="J12" s="36"/>
    </row>
    <row r="13" ht="20.05" customHeight="1">
      <c r="B13" s="33"/>
      <c r="C13" s="34">
        <v>1079</v>
      </c>
      <c r="D13" s="35"/>
      <c r="E13" s="35">
        <v>55</v>
      </c>
      <c r="F13" s="35">
        <v>8</v>
      </c>
      <c r="G13" s="36">
        <f>C13/C12-1</f>
        <v>0.383333333333333</v>
      </c>
      <c r="H13" s="36">
        <f>(E13+F13-C13)/C13</f>
        <v>-0.941612604263207</v>
      </c>
      <c r="I13" s="36"/>
      <c r="J13" s="36"/>
    </row>
    <row r="14" ht="20.05" customHeight="1">
      <c r="B14" s="33"/>
      <c r="C14" s="34">
        <v>785</v>
      </c>
      <c r="D14" s="35"/>
      <c r="E14" s="35">
        <v>55</v>
      </c>
      <c r="F14" s="35">
        <v>-3</v>
      </c>
      <c r="G14" s="36">
        <f>C14/C13-1</f>
        <v>-0.272474513438369</v>
      </c>
      <c r="H14" s="36">
        <f>(E14+F14-C14)/C14</f>
        <v>-0.933757961783439</v>
      </c>
      <c r="I14" s="36"/>
      <c r="J14" s="36"/>
    </row>
    <row r="15" ht="20.05" customHeight="1">
      <c r="B15" s="33"/>
      <c r="C15" s="34">
        <v>1298</v>
      </c>
      <c r="D15" s="35"/>
      <c r="E15" s="35">
        <v>57</v>
      </c>
      <c r="F15" s="35">
        <v>227</v>
      </c>
      <c r="G15" s="36">
        <f>C15/C14-1</f>
        <v>0.653503184713376</v>
      </c>
      <c r="H15" s="36">
        <f>(E15+F15-C15)/C15</f>
        <v>-0.781201848998459</v>
      </c>
      <c r="I15" s="36"/>
      <c r="J15" s="36"/>
    </row>
    <row r="16" ht="20.05" customHeight="1">
      <c r="B16" s="38">
        <v>2017</v>
      </c>
      <c r="C16" s="34">
        <v>1261</v>
      </c>
      <c r="D16" s="35"/>
      <c r="E16" s="35">
        <v>53</v>
      </c>
      <c r="F16" s="35">
        <v>121</v>
      </c>
      <c r="G16" s="36">
        <f>C16/C15-1</f>
        <v>-0.0285053929121726</v>
      </c>
      <c r="H16" s="36">
        <f>(E16+F16-C16)/C16</f>
        <v>-0.862014274385408</v>
      </c>
      <c r="I16" s="36"/>
      <c r="J16" s="36"/>
    </row>
    <row r="17" ht="20.05" customHeight="1">
      <c r="B17" s="33"/>
      <c r="C17" s="34">
        <v>1423</v>
      </c>
      <c r="D17" s="35"/>
      <c r="E17" s="35">
        <v>58</v>
      </c>
      <c r="F17" s="35">
        <v>136</v>
      </c>
      <c r="G17" s="36">
        <f>C17/C16-1</f>
        <v>0.128469468675654</v>
      </c>
      <c r="H17" s="36">
        <f>(E17+F17-C17)/C17</f>
        <v>-0.86366830639494</v>
      </c>
      <c r="I17" s="36"/>
      <c r="J17" s="36"/>
    </row>
    <row r="18" ht="20.05" customHeight="1">
      <c r="B18" s="33"/>
      <c r="C18" s="34">
        <v>1207</v>
      </c>
      <c r="D18" s="35"/>
      <c r="E18" s="35">
        <v>62</v>
      </c>
      <c r="F18" s="35">
        <v>161</v>
      </c>
      <c r="G18" s="36">
        <f>C18/C17-1</f>
        <v>-0.151791988756149</v>
      </c>
      <c r="H18" s="36">
        <f>(E18+F18-C18)/C18</f>
        <v>-0.815244407622204</v>
      </c>
      <c r="I18" s="36"/>
      <c r="J18" s="36"/>
    </row>
    <row r="19" ht="20.05" customHeight="1">
      <c r="B19" s="33"/>
      <c r="C19" s="34">
        <v>1269</v>
      </c>
      <c r="D19" s="35"/>
      <c r="E19" s="35">
        <v>59</v>
      </c>
      <c r="F19" s="35">
        <v>253</v>
      </c>
      <c r="G19" s="36">
        <f>C19/C18-1</f>
        <v>0.0513670256835128</v>
      </c>
      <c r="H19" s="36">
        <f>(E19+F19-C19)/C19</f>
        <v>-0.754137115839243</v>
      </c>
      <c r="I19" s="36">
        <f>AVERAGE(H16:H19)</f>
        <v>-0.823766026060449</v>
      </c>
      <c r="J19" s="36"/>
    </row>
    <row r="20" ht="20.05" customHeight="1">
      <c r="B20" s="38">
        <v>2018</v>
      </c>
      <c r="C20" s="34">
        <v>962</v>
      </c>
      <c r="D20" s="35"/>
      <c r="E20" s="35">
        <v>94</v>
      </c>
      <c r="F20" s="35">
        <v>56</v>
      </c>
      <c r="G20" s="36">
        <f>C20/C19-1</f>
        <v>-0.241922773837667</v>
      </c>
      <c r="H20" s="36">
        <f>(E20+F20-C20)/C20</f>
        <v>-0.844074844074844</v>
      </c>
      <c r="I20" s="36">
        <f>AVERAGE(H17:H20)</f>
        <v>-0.819281168482808</v>
      </c>
      <c r="J20" s="36"/>
    </row>
    <row r="21" ht="20.05" customHeight="1">
      <c r="B21" s="33"/>
      <c r="C21" s="34">
        <v>1160</v>
      </c>
      <c r="D21" s="35"/>
      <c r="E21" s="35">
        <v>94</v>
      </c>
      <c r="F21" s="35">
        <v>87</v>
      </c>
      <c r="G21" s="36">
        <f>C21/C20-1</f>
        <v>0.205821205821206</v>
      </c>
      <c r="H21" s="36">
        <f>(E21+F21-C21)/C21</f>
        <v>-0.843965517241379</v>
      </c>
      <c r="I21" s="36">
        <f>AVERAGE(H18:H21)</f>
        <v>-0.814355471194418</v>
      </c>
      <c r="J21" s="36"/>
    </row>
    <row r="22" ht="20.05" customHeight="1">
      <c r="B22" s="33"/>
      <c r="C22" s="34">
        <v>1216</v>
      </c>
      <c r="D22" s="35"/>
      <c r="E22" s="35">
        <v>94</v>
      </c>
      <c r="F22" s="35">
        <v>157</v>
      </c>
      <c r="G22" s="36">
        <f>C22/C21-1</f>
        <v>0.0482758620689655</v>
      </c>
      <c r="H22" s="36">
        <f>(E22+F22-C22)/C22</f>
        <v>-0.793585526315789</v>
      </c>
      <c r="I22" s="36">
        <f>AVERAGE(H19:H22)</f>
        <v>-0.808940750867814</v>
      </c>
      <c r="J22" s="36"/>
    </row>
    <row r="23" ht="20.05" customHeight="1">
      <c r="B23" s="33"/>
      <c r="C23" s="34">
        <v>1424</v>
      </c>
      <c r="D23" s="35"/>
      <c r="E23" s="35">
        <v>94</v>
      </c>
      <c r="F23" s="35">
        <v>132</v>
      </c>
      <c r="G23" s="36">
        <f>C23/C22-1</f>
        <v>0.171052631578947</v>
      </c>
      <c r="H23" s="36">
        <f>(E23+F23-C23)/C23</f>
        <v>-0.841292134831461</v>
      </c>
      <c r="I23" s="36">
        <f>AVERAGE(H20:H23)</f>
        <v>-0.830729505615868</v>
      </c>
      <c r="J23" s="36"/>
    </row>
    <row r="24" ht="20.05" customHeight="1">
      <c r="B24" s="38">
        <v>2019</v>
      </c>
      <c r="C24" s="34">
        <v>1372</v>
      </c>
      <c r="D24" s="35"/>
      <c r="E24" s="35">
        <v>137</v>
      </c>
      <c r="F24" s="35">
        <v>66</v>
      </c>
      <c r="G24" s="36">
        <f>C24/C23-1</f>
        <v>-0.0365168539325843</v>
      </c>
      <c r="H24" s="36">
        <f>(E24+F24-C24)/C24</f>
        <v>-0.8520408163265309</v>
      </c>
      <c r="I24" s="36">
        <f>AVERAGE(H21:H24)</f>
        <v>-0.83272099867879</v>
      </c>
      <c r="J24" s="36"/>
    </row>
    <row r="25" ht="20.05" customHeight="1">
      <c r="B25" s="33"/>
      <c r="C25" s="34">
        <v>1211</v>
      </c>
      <c r="D25" s="35"/>
      <c r="E25" s="35">
        <v>137</v>
      </c>
      <c r="F25" s="35">
        <v>2</v>
      </c>
      <c r="G25" s="36">
        <f>C25/C24-1</f>
        <v>-0.11734693877551</v>
      </c>
      <c r="H25" s="36">
        <f>(E25+F25-C25)/C25</f>
        <v>-0.885218827415359</v>
      </c>
      <c r="I25" s="36">
        <f>AVERAGE(H22:H25)</f>
        <v>-0.843034326222285</v>
      </c>
      <c r="J25" s="36"/>
    </row>
    <row r="26" ht="20.05" customHeight="1">
      <c r="B26" s="33"/>
      <c r="C26" s="34">
        <v>1385</v>
      </c>
      <c r="D26" s="35">
        <v>1459.2</v>
      </c>
      <c r="E26" s="35">
        <v>137</v>
      </c>
      <c r="F26" s="35">
        <v>-6</v>
      </c>
      <c r="G26" s="36">
        <f>C26/C25-1</f>
        <v>0.143682906688687</v>
      </c>
      <c r="H26" s="36">
        <f>(E26+F26-C26)/C26</f>
        <v>-0.905415162454874</v>
      </c>
      <c r="I26" s="36">
        <f>AVERAGE(H23:H26)</f>
        <v>-0.870991735257056</v>
      </c>
      <c r="J26" s="36"/>
    </row>
    <row r="27" ht="20.05" customHeight="1">
      <c r="B27" s="33"/>
      <c r="C27" s="34">
        <v>1768.6</v>
      </c>
      <c r="D27" s="35">
        <v>1680.32</v>
      </c>
      <c r="E27" s="35">
        <v>137</v>
      </c>
      <c r="F27" s="35">
        <v>116</v>
      </c>
      <c r="G27" s="36">
        <f>C27/C26-1</f>
        <v>0.276967509025271</v>
      </c>
      <c r="H27" s="36">
        <f>(E27+F27-C27)/C27</f>
        <v>-0.8569489992084131</v>
      </c>
      <c r="I27" s="36">
        <f>AVERAGE(H24:H27)</f>
        <v>-0.874905951351294</v>
      </c>
      <c r="J27" s="36"/>
    </row>
    <row r="28" ht="20.05" customHeight="1">
      <c r="B28" s="38">
        <v>2020</v>
      </c>
      <c r="C28" s="34">
        <v>1590</v>
      </c>
      <c r="D28" s="35">
        <v>1646.4</v>
      </c>
      <c r="E28" s="35">
        <v>146</v>
      </c>
      <c r="F28" s="35">
        <v>82</v>
      </c>
      <c r="G28" s="36">
        <f>C28/C27-1</f>
        <v>-0.100983829017302</v>
      </c>
      <c r="H28" s="36">
        <f>(E28+F28-C28)/C28</f>
        <v>-0.856603773584906</v>
      </c>
      <c r="I28" s="36">
        <f>AVERAGE(H25:H28)</f>
        <v>-0.876046690665888</v>
      </c>
      <c r="J28" s="36"/>
    </row>
    <row r="29" ht="20.05" customHeight="1">
      <c r="B29" s="33"/>
      <c r="C29" s="34">
        <v>1560</v>
      </c>
      <c r="D29" s="35">
        <v>1513.75</v>
      </c>
      <c r="E29" s="35">
        <v>146</v>
      </c>
      <c r="F29" s="35">
        <v>98</v>
      </c>
      <c r="G29" s="36">
        <f>C29/C28-1</f>
        <v>-0.0188679245283019</v>
      </c>
      <c r="H29" s="36">
        <f>(E29+F29-C29)/C29</f>
        <v>-0.843589743589744</v>
      </c>
      <c r="I29" s="36">
        <f>AVERAGE(H26:H29)</f>
        <v>-0.865639419709484</v>
      </c>
      <c r="J29" s="36"/>
    </row>
    <row r="30" ht="20.05" customHeight="1">
      <c r="B30" s="33"/>
      <c r="C30" s="34">
        <v>1231</v>
      </c>
      <c r="D30" s="35">
        <v>1662</v>
      </c>
      <c r="E30" s="35">
        <v>146</v>
      </c>
      <c r="F30" s="35">
        <v>-18</v>
      </c>
      <c r="G30" s="36">
        <f>C30/C29-1</f>
        <v>-0.210897435897436</v>
      </c>
      <c r="H30" s="36">
        <f>(E30+F30-C30)/C30</f>
        <v>-0.896019496344435</v>
      </c>
      <c r="I30" s="36">
        <f>AVERAGE(H27:H30)</f>
        <v>-0.8632905031818749</v>
      </c>
      <c r="J30" s="36"/>
    </row>
    <row r="31" ht="20.05" customHeight="1">
      <c r="B31" s="33"/>
      <c r="C31" s="34">
        <f>6698.9-SUM(C28:C30)</f>
        <v>2317.9</v>
      </c>
      <c r="D31" s="35">
        <v>1563.37</v>
      </c>
      <c r="E31" s="35">
        <f>331.7+24.7+242.3-11.2+67.9-SUM(E28:E30)</f>
        <v>217.4</v>
      </c>
      <c r="F31" s="35">
        <f>478.2-SUM(F28:F30)</f>
        <v>316.2</v>
      </c>
      <c r="G31" s="36">
        <f>C31/C30-1</f>
        <v>0.882940698619009</v>
      </c>
      <c r="H31" s="36">
        <f>(E31+F31-C31)/C31</f>
        <v>-0.769791621726563</v>
      </c>
      <c r="I31" s="36">
        <f>AVERAGE(H28:H31)</f>
        <v>-0.841501158811412</v>
      </c>
      <c r="J31" s="36"/>
    </row>
    <row r="32" ht="20.05" customHeight="1">
      <c r="B32" s="38">
        <v>2021</v>
      </c>
      <c r="C32" s="34">
        <v>1636.6</v>
      </c>
      <c r="D32" s="35">
        <v>2202.005</v>
      </c>
      <c r="E32" s="35">
        <f>83.1+4.2+60</f>
        <v>147.3</v>
      </c>
      <c r="F32" s="35">
        <v>99.3</v>
      </c>
      <c r="G32" s="36">
        <f>C32/C31-1</f>
        <v>-0.293929850295526</v>
      </c>
      <c r="H32" s="36">
        <f>(E32+F32-C32)/C32</f>
        <v>-0.849321764633997</v>
      </c>
      <c r="I32" s="36">
        <f>AVERAGE(H29:H32)</f>
        <v>-0.839680656573685</v>
      </c>
      <c r="J32" s="36"/>
    </row>
    <row r="33" ht="20.05" customHeight="1">
      <c r="B33" s="33"/>
      <c r="C33" s="34">
        <f>3297.3-C32</f>
        <v>1660.7</v>
      </c>
      <c r="D33" s="35">
        <v>2045.75</v>
      </c>
      <c r="E33" s="35">
        <f>167.2+8.9+120-E32</f>
        <v>148.8</v>
      </c>
      <c r="F33" s="35">
        <f>213.2-F32</f>
        <v>113.9</v>
      </c>
      <c r="G33" s="36">
        <f>C33/C32-1</f>
        <v>0.0147256507393377</v>
      </c>
      <c r="H33" s="36">
        <f>(E33+F33-C33)/C33</f>
        <v>-0.8418136930210151</v>
      </c>
      <c r="I33" s="36">
        <f>AVERAGE(H30:H33)</f>
        <v>-0.839236643931503</v>
      </c>
      <c r="J33" s="36"/>
    </row>
    <row r="34" ht="20.05" customHeight="1">
      <c r="B34" s="33"/>
      <c r="C34" s="34">
        <f>5052.6-SUM(C32:C33)</f>
        <v>1755.3</v>
      </c>
      <c r="D34" s="39">
        <v>1826.77</v>
      </c>
      <c r="E34" s="35">
        <f>257.3+12.6+179.9-SUM(E32:E33)</f>
        <v>153.7</v>
      </c>
      <c r="F34" s="35">
        <f>424.2-SUM(F32:F33)</f>
        <v>211</v>
      </c>
      <c r="G34" s="36">
        <f>C34/C33-1</f>
        <v>0.0569639308725236</v>
      </c>
      <c r="H34" s="36">
        <f>(E34+F34-C34)/C34</f>
        <v>-0.792229248561499</v>
      </c>
      <c r="I34" s="36">
        <f>AVERAGE(H31:H34)</f>
        <v>-0.813289081985769</v>
      </c>
      <c r="J34" s="36"/>
    </row>
    <row r="35" ht="20.05" customHeight="1">
      <c r="B35" s="33"/>
      <c r="C35" s="34">
        <f>7124.5-C34-C33-C32</f>
        <v>2071.9</v>
      </c>
      <c r="D35" s="39">
        <v>1931</v>
      </c>
      <c r="E35" s="35">
        <v>157.4</v>
      </c>
      <c r="F35" s="35">
        <f>739.7-F34-F33-F32</f>
        <v>315.5</v>
      </c>
      <c r="G35" s="36">
        <f>C35/C34-1</f>
        <v>0.180368028257278</v>
      </c>
      <c r="H35" s="36">
        <f>(E35+F35-C35)/C35</f>
        <v>-0.7717553936000771</v>
      </c>
      <c r="I35" s="36">
        <f>AVERAGE(H32:H35)</f>
        <v>-0.813780024954147</v>
      </c>
      <c r="J35" s="40"/>
    </row>
    <row r="36" ht="20.05" customHeight="1">
      <c r="B36" s="38">
        <v>2022</v>
      </c>
      <c r="C36" s="34">
        <v>1645</v>
      </c>
      <c r="D36" s="39">
        <v>2051.181</v>
      </c>
      <c r="E36" s="35">
        <f>'Balance sheets '!F36-'Balance sheets '!F35</f>
        <v>159</v>
      </c>
      <c r="F36" s="35">
        <v>209</v>
      </c>
      <c r="G36" s="36">
        <f>C36/C35-1</f>
        <v>-0.206042762681597</v>
      </c>
      <c r="H36" s="36">
        <f>(E36+F36-C36)/C36</f>
        <v>-0.77629179331307</v>
      </c>
      <c r="I36" s="36">
        <f>AVERAGE(H33:H36)</f>
        <v>-0.795522532123915</v>
      </c>
      <c r="J36" s="36">
        <f>I36</f>
        <v>-0.795522532123915</v>
      </c>
    </row>
    <row r="37" ht="20.05" customHeight="1">
      <c r="B37" s="33"/>
      <c r="C37" s="34"/>
      <c r="D37" s="39">
        <f>'Model'!C6</f>
        <v>1760.15</v>
      </c>
      <c r="E37" s="35"/>
      <c r="F37" s="35"/>
      <c r="G37" s="37"/>
      <c r="H37" s="37"/>
      <c r="I37" s="37"/>
      <c r="J37" s="37">
        <f>'Model'!C7</f>
        <v>-0.795522532123915</v>
      </c>
    </row>
    <row r="38" ht="20.05" customHeight="1">
      <c r="B38" s="33"/>
      <c r="C38" s="34"/>
      <c r="D38" s="35">
        <f>'Model'!D6</f>
        <v>1848.1575</v>
      </c>
      <c r="E38" s="35"/>
      <c r="F38" s="35"/>
      <c r="G38" s="37"/>
      <c r="H38" s="37"/>
      <c r="I38" s="37"/>
      <c r="J38" s="37"/>
    </row>
    <row r="39" ht="20.05" customHeight="1">
      <c r="B39" s="33"/>
      <c r="C39" s="34"/>
      <c r="D39" s="35">
        <f>SUM('Model'!E6)</f>
        <v>1977.528525</v>
      </c>
      <c r="E39" s="35">
        <f>SUM(C26:C36)</f>
        <v>18622</v>
      </c>
      <c r="F39" s="35">
        <f>SUM(D26:D36)</f>
        <v>19581.746</v>
      </c>
      <c r="G39" s="37"/>
      <c r="H39" s="37"/>
      <c r="I39" s="37"/>
      <c r="J39" s="37"/>
    </row>
    <row r="40" ht="20.05" customHeight="1">
      <c r="B40" s="38">
        <v>2023</v>
      </c>
      <c r="C40" s="34"/>
      <c r="D40" s="35">
        <f>'Model'!F6</f>
        <v>1957.75323975</v>
      </c>
      <c r="E40" s="35"/>
      <c r="F40" s="35"/>
      <c r="G40" s="37"/>
      <c r="H40" s="37"/>
      <c r="I40" s="37"/>
      <c r="J40" s="3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516" style="41" customWidth="1"/>
    <col min="2" max="2" width="7.5625" style="41" customWidth="1"/>
    <col min="3" max="15" width="11.9375" style="41" customWidth="1"/>
    <col min="16" max="16384" width="16.3516" style="41" customWidth="1"/>
  </cols>
  <sheetData>
    <row r="1" ht="79.95" customHeight="1"/>
    <row r="2" ht="27.65" customHeight="1">
      <c r="B2" t="s" s="26">
        <v>33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32.25" customHeight="1">
      <c r="B3" t="s" s="27">
        <v>1</v>
      </c>
      <c r="C3" t="s" s="27">
        <v>47</v>
      </c>
      <c r="D3" t="s" s="27">
        <v>8</v>
      </c>
      <c r="E3" t="s" s="27">
        <v>48</v>
      </c>
      <c r="F3" t="s" s="27">
        <v>49</v>
      </c>
      <c r="G3" t="s" s="27">
        <v>11</v>
      </c>
      <c r="H3" t="s" s="27">
        <v>50</v>
      </c>
      <c r="I3" t="s" s="27">
        <v>10</v>
      </c>
      <c r="J3" t="s" s="27">
        <v>51</v>
      </c>
      <c r="K3" t="s" s="27">
        <v>33</v>
      </c>
      <c r="L3" t="s" s="27">
        <v>35</v>
      </c>
      <c r="M3" t="s" s="27">
        <v>29</v>
      </c>
      <c r="N3" t="s" s="27">
        <v>35</v>
      </c>
      <c r="O3" s="42"/>
    </row>
    <row r="4" ht="20.25" customHeight="1">
      <c r="B4" s="28">
        <v>2014</v>
      </c>
      <c r="C4" s="29"/>
      <c r="D4" s="30">
        <v>188</v>
      </c>
      <c r="E4" s="30">
        <v>-196</v>
      </c>
      <c r="F4" s="30"/>
      <c r="G4" s="30"/>
      <c r="H4" s="30"/>
      <c r="I4" s="30">
        <v>-14</v>
      </c>
      <c r="J4" s="30">
        <f>D4+E4+F4</f>
        <v>-8</v>
      </c>
      <c r="K4" s="30"/>
      <c r="L4" s="30"/>
      <c r="M4" s="30">
        <f>-I4</f>
        <v>14</v>
      </c>
      <c r="N4" s="30"/>
      <c r="O4" s="30">
        <v>1</v>
      </c>
    </row>
    <row r="5" ht="20.05" customHeight="1">
      <c r="B5" s="33"/>
      <c r="C5" s="34"/>
      <c r="D5" s="35">
        <v>298</v>
      </c>
      <c r="E5" s="35">
        <v>-233</v>
      </c>
      <c r="F5" s="35"/>
      <c r="G5" s="35"/>
      <c r="H5" s="35"/>
      <c r="I5" s="35">
        <v>521</v>
      </c>
      <c r="J5" s="35">
        <f>D5+E5+F5</f>
        <v>65</v>
      </c>
      <c r="K5" s="35"/>
      <c r="L5" s="35"/>
      <c r="M5" s="35">
        <f>-I5+M4</f>
        <v>-507</v>
      </c>
      <c r="N5" s="35"/>
      <c r="O5" s="35">
        <f>1+O4</f>
        <v>2</v>
      </c>
    </row>
    <row r="6" ht="20.05" customHeight="1">
      <c r="B6" s="33"/>
      <c r="C6" s="34"/>
      <c r="D6" s="35">
        <v>257</v>
      </c>
      <c r="E6" s="35">
        <v>-183</v>
      </c>
      <c r="F6" s="35"/>
      <c r="G6" s="35"/>
      <c r="H6" s="35"/>
      <c r="I6" s="35">
        <v>-113</v>
      </c>
      <c r="J6" s="35">
        <f>D6+E6+F6</f>
        <v>74</v>
      </c>
      <c r="K6" s="35"/>
      <c r="L6" s="35"/>
      <c r="M6" s="35">
        <f>-I6+M5</f>
        <v>-394</v>
      </c>
      <c r="N6" s="35"/>
      <c r="O6" s="35">
        <f>1+O5</f>
        <v>3</v>
      </c>
    </row>
    <row r="7" ht="20.05" customHeight="1">
      <c r="B7" s="33"/>
      <c r="C7" s="34"/>
      <c r="D7" s="35">
        <v>254</v>
      </c>
      <c r="E7" s="35">
        <v>-273</v>
      </c>
      <c r="F7" s="35"/>
      <c r="G7" s="35"/>
      <c r="H7" s="35"/>
      <c r="I7" s="35">
        <v>199</v>
      </c>
      <c r="J7" s="35">
        <f>D7+E7+F7</f>
        <v>-19</v>
      </c>
      <c r="K7" s="35"/>
      <c r="L7" s="35"/>
      <c r="M7" s="35">
        <f>-I7+M6</f>
        <v>-593</v>
      </c>
      <c r="N7" s="35"/>
      <c r="O7" s="35">
        <f>1+O6</f>
        <v>4</v>
      </c>
    </row>
    <row r="8" ht="20.05" customHeight="1">
      <c r="B8" s="38">
        <v>2015</v>
      </c>
      <c r="C8" s="34"/>
      <c r="D8" s="35">
        <v>61</v>
      </c>
      <c r="E8" s="35">
        <v>-232</v>
      </c>
      <c r="F8" s="35"/>
      <c r="G8" s="35"/>
      <c r="H8" s="35"/>
      <c r="I8" s="35">
        <v>29</v>
      </c>
      <c r="J8" s="35">
        <f>D8+E8+F8</f>
        <v>-171</v>
      </c>
      <c r="K8" s="35"/>
      <c r="L8" s="35"/>
      <c r="M8" s="35">
        <f>-I8+M7</f>
        <v>-622</v>
      </c>
      <c r="N8" s="35"/>
      <c r="O8" s="35">
        <f>1+O7</f>
        <v>5</v>
      </c>
    </row>
    <row r="9" ht="20.05" customHeight="1">
      <c r="B9" s="33"/>
      <c r="C9" s="34"/>
      <c r="D9" s="35">
        <v>-114</v>
      </c>
      <c r="E9" s="35">
        <v>-136</v>
      </c>
      <c r="F9" s="35"/>
      <c r="G9" s="35"/>
      <c r="H9" s="35"/>
      <c r="I9" s="35">
        <v>-130</v>
      </c>
      <c r="J9" s="35">
        <f>D9+E9+F9</f>
        <v>-250</v>
      </c>
      <c r="K9" s="35"/>
      <c r="L9" s="35"/>
      <c r="M9" s="35">
        <f>-I9+M8</f>
        <v>-492</v>
      </c>
      <c r="N9" s="35"/>
      <c r="O9" s="35">
        <f>1+O8</f>
        <v>6</v>
      </c>
    </row>
    <row r="10" ht="20.05" customHeight="1">
      <c r="B10" s="33"/>
      <c r="C10" s="34"/>
      <c r="D10" s="35">
        <v>94</v>
      </c>
      <c r="E10" s="35">
        <v>-198</v>
      </c>
      <c r="F10" s="35"/>
      <c r="G10" s="35"/>
      <c r="H10" s="35"/>
      <c r="I10" s="35">
        <v>40</v>
      </c>
      <c r="J10" s="35">
        <f>D10+E10+F10</f>
        <v>-104</v>
      </c>
      <c r="K10" s="35"/>
      <c r="L10" s="35"/>
      <c r="M10" s="35">
        <f>-I10+M9</f>
        <v>-532</v>
      </c>
      <c r="N10" s="35"/>
      <c r="O10" s="35">
        <f>1+O9</f>
        <v>7</v>
      </c>
    </row>
    <row r="11" ht="20.05" customHeight="1">
      <c r="B11" s="33"/>
      <c r="C11" s="34"/>
      <c r="D11" s="35">
        <v>198</v>
      </c>
      <c r="E11" s="35">
        <v>-132</v>
      </c>
      <c r="F11" s="35"/>
      <c r="G11" s="35"/>
      <c r="H11" s="35"/>
      <c r="I11" s="35">
        <v>254</v>
      </c>
      <c r="J11" s="35">
        <f>D11+E11+F11</f>
        <v>66</v>
      </c>
      <c r="K11" s="35"/>
      <c r="L11" s="35"/>
      <c r="M11" s="35">
        <f>-I11+M10</f>
        <v>-786</v>
      </c>
      <c r="N11" s="35"/>
      <c r="O11" s="35">
        <f>1+O10</f>
        <v>8</v>
      </c>
    </row>
    <row r="12" ht="20.05" customHeight="1">
      <c r="B12" s="38">
        <v>2016</v>
      </c>
      <c r="C12" s="34"/>
      <c r="D12" s="35">
        <v>1</v>
      </c>
      <c r="E12" s="35">
        <v>-218</v>
      </c>
      <c r="F12" s="35"/>
      <c r="G12" s="35"/>
      <c r="H12" s="35"/>
      <c r="I12" s="35">
        <v>-19</v>
      </c>
      <c r="J12" s="35">
        <f>D12+E12+F12</f>
        <v>-217</v>
      </c>
      <c r="K12" s="35"/>
      <c r="L12" s="35"/>
      <c r="M12" s="35">
        <f>-I12+M11</f>
        <v>-767</v>
      </c>
      <c r="N12" s="35"/>
      <c r="O12" s="35">
        <f>1+O11</f>
        <v>9</v>
      </c>
    </row>
    <row r="13" ht="20.05" customHeight="1">
      <c r="B13" s="33"/>
      <c r="C13" s="34"/>
      <c r="D13" s="35">
        <v>70</v>
      </c>
      <c r="E13" s="35">
        <v>-148</v>
      </c>
      <c r="F13" s="35"/>
      <c r="G13" s="35"/>
      <c r="H13" s="35"/>
      <c r="I13" s="35">
        <v>30</v>
      </c>
      <c r="J13" s="35">
        <f>D13+E13+F13</f>
        <v>-78</v>
      </c>
      <c r="K13" s="35"/>
      <c r="L13" s="35"/>
      <c r="M13" s="35">
        <f>-I13+M12</f>
        <v>-797</v>
      </c>
      <c r="N13" s="35"/>
      <c r="O13" s="35">
        <f>1+O12</f>
        <v>10</v>
      </c>
    </row>
    <row r="14" ht="20.05" customHeight="1">
      <c r="B14" s="33"/>
      <c r="C14" s="34"/>
      <c r="D14" s="35">
        <v>-16</v>
      </c>
      <c r="E14" s="35">
        <v>-408</v>
      </c>
      <c r="F14" s="35"/>
      <c r="G14" s="35"/>
      <c r="H14" s="35"/>
      <c r="I14" s="35">
        <v>204</v>
      </c>
      <c r="J14" s="35">
        <f>D14+E14+F14</f>
        <v>-424</v>
      </c>
      <c r="K14" s="35"/>
      <c r="L14" s="35"/>
      <c r="M14" s="35">
        <f>-I14+M13</f>
        <v>-1001</v>
      </c>
      <c r="N14" s="35"/>
      <c r="O14" s="35">
        <f>1+O13</f>
        <v>11</v>
      </c>
    </row>
    <row r="15" ht="20.05" customHeight="1">
      <c r="B15" s="33"/>
      <c r="C15" s="34"/>
      <c r="D15" s="35">
        <v>344</v>
      </c>
      <c r="E15" s="35">
        <v>-268</v>
      </c>
      <c r="F15" s="35"/>
      <c r="G15" s="35"/>
      <c r="H15" s="35"/>
      <c r="I15" s="35">
        <v>8</v>
      </c>
      <c r="J15" s="35">
        <f>D15+E15+F15</f>
        <v>76</v>
      </c>
      <c r="K15" s="35"/>
      <c r="L15" s="35"/>
      <c r="M15" s="35">
        <f>-I15+M14</f>
        <v>-1009</v>
      </c>
      <c r="N15" s="35"/>
      <c r="O15" s="35">
        <f>1+O14</f>
        <v>12</v>
      </c>
    </row>
    <row r="16" ht="20.05" customHeight="1">
      <c r="B16" s="38">
        <v>2017</v>
      </c>
      <c r="C16" s="34"/>
      <c r="D16" s="35">
        <v>54</v>
      </c>
      <c r="E16" s="35">
        <v>-116</v>
      </c>
      <c r="F16" s="35"/>
      <c r="G16" s="35"/>
      <c r="H16" s="35"/>
      <c r="I16" s="35">
        <v>22</v>
      </c>
      <c r="J16" s="35">
        <f>D16+E16+F16</f>
        <v>-62</v>
      </c>
      <c r="K16" s="35"/>
      <c r="L16" s="35"/>
      <c r="M16" s="35">
        <f>-I16+M15</f>
        <v>-1031</v>
      </c>
      <c r="N16" s="35"/>
      <c r="O16" s="35">
        <f>1+O15</f>
        <v>13</v>
      </c>
    </row>
    <row r="17" ht="20.05" customHeight="1">
      <c r="B17" s="33"/>
      <c r="C17" s="34"/>
      <c r="D17" s="35">
        <v>453</v>
      </c>
      <c r="E17" s="35">
        <v>-350</v>
      </c>
      <c r="F17" s="35"/>
      <c r="G17" s="35"/>
      <c r="H17" s="35"/>
      <c r="I17" s="35">
        <v>-45</v>
      </c>
      <c r="J17" s="35">
        <f>D17+E17+F17</f>
        <v>103</v>
      </c>
      <c r="K17" s="35"/>
      <c r="L17" s="35"/>
      <c r="M17" s="35">
        <f>-I17+M16</f>
        <v>-986</v>
      </c>
      <c r="N17" s="35"/>
      <c r="O17" s="35">
        <f>1+O16</f>
        <v>14</v>
      </c>
    </row>
    <row r="18" ht="20.05" customHeight="1">
      <c r="B18" s="33"/>
      <c r="C18" s="34"/>
      <c r="D18" s="35">
        <v>362</v>
      </c>
      <c r="E18" s="35">
        <v>-142</v>
      </c>
      <c r="F18" s="35"/>
      <c r="G18" s="35"/>
      <c r="H18" s="35"/>
      <c r="I18" s="35">
        <v>-164</v>
      </c>
      <c r="J18" s="35">
        <f>D18+E18+F18</f>
        <v>220</v>
      </c>
      <c r="K18" s="35"/>
      <c r="L18" s="35"/>
      <c r="M18" s="35">
        <f>-I18+M17</f>
        <v>-822</v>
      </c>
      <c r="N18" s="35"/>
      <c r="O18" s="35">
        <f>1+O17</f>
        <v>15</v>
      </c>
    </row>
    <row r="19" ht="20.05" customHeight="1">
      <c r="B19" s="33"/>
      <c r="C19" s="34"/>
      <c r="D19" s="35">
        <v>226</v>
      </c>
      <c r="E19" s="35">
        <v>-100</v>
      </c>
      <c r="F19" s="35"/>
      <c r="G19" s="35"/>
      <c r="H19" s="35"/>
      <c r="I19" s="35">
        <v>-74</v>
      </c>
      <c r="J19" s="35">
        <f>D19+E19+F19</f>
        <v>126</v>
      </c>
      <c r="K19" s="35"/>
      <c r="L19" s="35"/>
      <c r="M19" s="35">
        <f>-I19+M18</f>
        <v>-748</v>
      </c>
      <c r="N19" s="35"/>
      <c r="O19" s="35">
        <f>1+O18</f>
        <v>16</v>
      </c>
    </row>
    <row r="20" ht="20.05" customHeight="1">
      <c r="B20" s="38">
        <v>2018</v>
      </c>
      <c r="C20" s="34"/>
      <c r="D20" s="35">
        <v>161</v>
      </c>
      <c r="E20" s="35">
        <v>-204</v>
      </c>
      <c r="F20" s="35"/>
      <c r="G20" s="35"/>
      <c r="H20" s="35"/>
      <c r="I20" s="35">
        <v>-81</v>
      </c>
      <c r="J20" s="35">
        <f>D20+E20+F20</f>
        <v>-43</v>
      </c>
      <c r="K20" s="35">
        <f>AVERAGE(J17:J20)</f>
        <v>101.5</v>
      </c>
      <c r="L20" s="35"/>
      <c r="M20" s="35">
        <f>-I20+M19</f>
        <v>-667</v>
      </c>
      <c r="N20" s="35"/>
      <c r="O20" s="35">
        <f>1+O19</f>
        <v>17</v>
      </c>
    </row>
    <row r="21" ht="20.05" customHeight="1">
      <c r="B21" s="33"/>
      <c r="C21" s="34">
        <v>2126</v>
      </c>
      <c r="D21" s="35">
        <v>-123</v>
      </c>
      <c r="E21" s="35">
        <v>-114</v>
      </c>
      <c r="F21" s="35"/>
      <c r="G21" s="35"/>
      <c r="H21" s="35"/>
      <c r="I21" s="35">
        <v>356</v>
      </c>
      <c r="J21" s="35">
        <f>D21+E21+F21</f>
        <v>-237</v>
      </c>
      <c r="K21" s="35">
        <f>AVERAGE(J18:J21)</f>
        <v>16.5</v>
      </c>
      <c r="L21" s="35"/>
      <c r="M21" s="35">
        <f>-I21+M20</f>
        <v>-1023</v>
      </c>
      <c r="N21" s="35"/>
      <c r="O21" s="35">
        <f>1+O20</f>
        <v>18</v>
      </c>
    </row>
    <row r="22" ht="20.05" customHeight="1">
      <c r="B22" s="33"/>
      <c r="C22" s="34">
        <v>1359</v>
      </c>
      <c r="D22" s="35">
        <v>385</v>
      </c>
      <c r="E22" s="35">
        <v>-177</v>
      </c>
      <c r="F22" s="35"/>
      <c r="G22" s="35"/>
      <c r="H22" s="35"/>
      <c r="I22" s="35">
        <v>-241</v>
      </c>
      <c r="J22" s="35">
        <f>D22+E22+F22</f>
        <v>208</v>
      </c>
      <c r="K22" s="35">
        <f>AVERAGE(J19:J22)</f>
        <v>13.5</v>
      </c>
      <c r="L22" s="35"/>
      <c r="M22" s="35">
        <f>-I22+M21</f>
        <v>-782</v>
      </c>
      <c r="N22" s="35"/>
      <c r="O22" s="35">
        <f>1+O21</f>
        <v>19</v>
      </c>
    </row>
    <row r="23" ht="20.05" customHeight="1">
      <c r="B23" s="33"/>
      <c r="C23" s="34">
        <v>1312</v>
      </c>
      <c r="D23" s="35">
        <v>-125</v>
      </c>
      <c r="E23" s="35">
        <v>-889</v>
      </c>
      <c r="F23" s="35"/>
      <c r="G23" s="35"/>
      <c r="H23" s="35"/>
      <c r="I23" s="35">
        <v>1226</v>
      </c>
      <c r="J23" s="35">
        <f>D23+E23+F23</f>
        <v>-1014</v>
      </c>
      <c r="K23" s="35">
        <f>AVERAGE(J20:J23)</f>
        <v>-271.5</v>
      </c>
      <c r="L23" s="35"/>
      <c r="M23" s="35">
        <f>-I23+M22</f>
        <v>-2008</v>
      </c>
      <c r="N23" s="35"/>
      <c r="O23" s="35">
        <f>1+O22</f>
        <v>20</v>
      </c>
    </row>
    <row r="24" ht="20.05" customHeight="1">
      <c r="B24" s="38">
        <v>2019</v>
      </c>
      <c r="C24" s="34">
        <v>1377</v>
      </c>
      <c r="D24" s="35">
        <v>265</v>
      </c>
      <c r="E24" s="35">
        <v>-170</v>
      </c>
      <c r="F24" s="35"/>
      <c r="G24" s="35"/>
      <c r="H24" s="35"/>
      <c r="I24" s="35">
        <v>-231</v>
      </c>
      <c r="J24" s="35">
        <f>D24+E24+F24</f>
        <v>95</v>
      </c>
      <c r="K24" s="35">
        <f>AVERAGE(J21:J24)</f>
        <v>-237</v>
      </c>
      <c r="L24" s="35"/>
      <c r="M24" s="35">
        <f>-I24+M23</f>
        <v>-1777</v>
      </c>
      <c r="N24" s="35"/>
      <c r="O24" s="35">
        <f>1+O23</f>
        <v>21</v>
      </c>
    </row>
    <row r="25" ht="20.05" customHeight="1">
      <c r="B25" s="33"/>
      <c r="C25" s="34">
        <v>1315</v>
      </c>
      <c r="D25" s="35">
        <v>-18</v>
      </c>
      <c r="E25" s="35">
        <v>-147</v>
      </c>
      <c r="F25" s="35"/>
      <c r="G25" s="35"/>
      <c r="H25" s="35"/>
      <c r="I25" s="35">
        <v>-15</v>
      </c>
      <c r="J25" s="35">
        <f>D25+E25+F25</f>
        <v>-165</v>
      </c>
      <c r="K25" s="35">
        <f>AVERAGE(J22:J25)</f>
        <v>-219</v>
      </c>
      <c r="L25" s="35"/>
      <c r="M25" s="35">
        <f>-I25+M24</f>
        <v>-1762</v>
      </c>
      <c r="N25" s="35"/>
      <c r="O25" s="35">
        <f>1+O24</f>
        <v>22</v>
      </c>
    </row>
    <row r="26" ht="20.05" customHeight="1">
      <c r="B26" s="33"/>
      <c r="C26" s="34">
        <v>1389</v>
      </c>
      <c r="D26" s="35">
        <v>304</v>
      </c>
      <c r="E26" s="35">
        <v>-251</v>
      </c>
      <c r="F26" s="35"/>
      <c r="G26" s="35"/>
      <c r="H26" s="35"/>
      <c r="I26" s="35">
        <v>-9</v>
      </c>
      <c r="J26" s="35">
        <f>D26+E26+F26</f>
        <v>53</v>
      </c>
      <c r="K26" s="35">
        <f>AVERAGE(J23:J26)</f>
        <v>-257.75</v>
      </c>
      <c r="L26" s="35"/>
      <c r="M26" s="35">
        <f>-I26+M25</f>
        <v>-1753</v>
      </c>
      <c r="N26" s="35"/>
      <c r="O26" s="35">
        <f>1+O25</f>
        <v>23</v>
      </c>
    </row>
    <row r="27" ht="20.05" customHeight="1">
      <c r="B27" s="33"/>
      <c r="C27" s="34">
        <v>1702</v>
      </c>
      <c r="D27" s="35">
        <v>36</v>
      </c>
      <c r="E27" s="35">
        <v>-171.8</v>
      </c>
      <c r="F27" s="35"/>
      <c r="G27" s="35"/>
      <c r="H27" s="35"/>
      <c r="I27" s="35">
        <v>54.1</v>
      </c>
      <c r="J27" s="35">
        <f>D27+E27+F27</f>
        <v>-135.8</v>
      </c>
      <c r="K27" s="35">
        <f>AVERAGE(J24:J27)</f>
        <v>-38.2</v>
      </c>
      <c r="L27" s="35"/>
      <c r="M27" s="35">
        <f>-I27+M26</f>
        <v>-1807.1</v>
      </c>
      <c r="N27" s="35"/>
      <c r="O27" s="35">
        <f>1+O26</f>
        <v>24</v>
      </c>
    </row>
    <row r="28" ht="20.05" customHeight="1">
      <c r="B28" s="38">
        <v>2020</v>
      </c>
      <c r="C28" s="34">
        <v>1520</v>
      </c>
      <c r="D28" s="35">
        <v>269</v>
      </c>
      <c r="E28" s="35">
        <v>-170</v>
      </c>
      <c r="F28" s="35"/>
      <c r="G28" s="35"/>
      <c r="H28" s="35"/>
      <c r="I28" s="35">
        <v>-231</v>
      </c>
      <c r="J28" s="35">
        <f>D28+E28+F28</f>
        <v>99</v>
      </c>
      <c r="K28" s="35">
        <f>AVERAGE(J25:J28)</f>
        <v>-37.2</v>
      </c>
      <c r="L28" s="35"/>
      <c r="M28" s="35">
        <f>-I28+M27</f>
        <v>-1576.1</v>
      </c>
      <c r="N28" s="35"/>
      <c r="O28" s="35">
        <f>1+O27</f>
        <v>25</v>
      </c>
    </row>
    <row r="29" ht="20.05" customHeight="1">
      <c r="B29" s="33"/>
      <c r="C29" s="34">
        <v>1604.3</v>
      </c>
      <c r="D29" s="35">
        <v>240.2</v>
      </c>
      <c r="E29" s="35">
        <v>-201</v>
      </c>
      <c r="F29" s="35"/>
      <c r="G29" s="35"/>
      <c r="H29" s="35"/>
      <c r="I29" s="35">
        <v>-184.5</v>
      </c>
      <c r="J29" s="35">
        <f>D29+E29+F29</f>
        <v>39.2</v>
      </c>
      <c r="K29" s="35">
        <f>AVERAGE(J26:J29)</f>
        <v>13.85</v>
      </c>
      <c r="L29" s="35"/>
      <c r="M29" s="35">
        <f>-I29+M28</f>
        <v>-1391.6</v>
      </c>
      <c r="N29" s="35"/>
      <c r="O29" s="35">
        <f>1+O28</f>
        <v>26</v>
      </c>
    </row>
    <row r="30" ht="20.05" customHeight="1">
      <c r="B30" s="33"/>
      <c r="C30" s="34">
        <v>1364.7</v>
      </c>
      <c r="D30" s="35">
        <v>5.8</v>
      </c>
      <c r="E30" s="35">
        <v>38</v>
      </c>
      <c r="F30" s="35"/>
      <c r="G30" s="35"/>
      <c r="H30" s="35"/>
      <c r="I30" s="35">
        <v>298.5</v>
      </c>
      <c r="J30" s="35">
        <f>D30+E30+F30</f>
        <v>43.8</v>
      </c>
      <c r="K30" s="35">
        <f>AVERAGE(J27:J30)</f>
        <v>11.55</v>
      </c>
      <c r="L30" s="35"/>
      <c r="M30" s="35">
        <f>-I30+M29</f>
        <v>-1690.1</v>
      </c>
      <c r="N30" s="35"/>
      <c r="O30" s="35">
        <f>1+O29</f>
        <v>27</v>
      </c>
    </row>
    <row r="31" ht="20.05" customHeight="1">
      <c r="B31" s="33"/>
      <c r="C31" s="34">
        <v>2242</v>
      </c>
      <c r="D31" s="35">
        <v>579</v>
      </c>
      <c r="E31" s="35">
        <v>-310</v>
      </c>
      <c r="F31" s="35"/>
      <c r="G31" s="35"/>
      <c r="H31" s="35"/>
      <c r="I31" s="35">
        <v>167</v>
      </c>
      <c r="J31" s="35">
        <f>D31+E31+F31</f>
        <v>269</v>
      </c>
      <c r="K31" s="35">
        <f>AVERAGE(J28:J31)</f>
        <v>112.75</v>
      </c>
      <c r="L31" s="35"/>
      <c r="M31" s="35">
        <f>-I31+M30</f>
        <v>-1857.1</v>
      </c>
      <c r="N31" s="35"/>
      <c r="O31" s="35">
        <f>1+O30</f>
        <v>28</v>
      </c>
    </row>
    <row r="32" ht="20.05" customHeight="1">
      <c r="B32" s="38">
        <v>2021</v>
      </c>
      <c r="C32" s="34">
        <v>1592.5</v>
      </c>
      <c r="D32" s="35">
        <v>195.2</v>
      </c>
      <c r="E32" s="35">
        <v>-156.1</v>
      </c>
      <c r="F32" s="35">
        <v>-6</v>
      </c>
      <c r="G32" s="35">
        <f>5-17-156</f>
        <v>-168</v>
      </c>
      <c r="H32" s="35"/>
      <c r="I32" s="35">
        <f>-174.7</f>
        <v>-174.7</v>
      </c>
      <c r="J32" s="35">
        <f>D32+E32+F32</f>
        <v>33.1</v>
      </c>
      <c r="K32" s="35">
        <f>AVERAGE(J29:J32)</f>
        <v>96.27500000000001</v>
      </c>
      <c r="L32" s="35"/>
      <c r="M32" s="35">
        <f>-(G32+H32)+M31</f>
        <v>-1689.1</v>
      </c>
      <c r="N32" s="35"/>
      <c r="O32" s="35">
        <f>1+O31</f>
        <v>29</v>
      </c>
    </row>
    <row r="33" ht="20.05" customHeight="1">
      <c r="B33" s="33"/>
      <c r="C33" s="34">
        <f>3417.4-C32</f>
        <v>1824.9</v>
      </c>
      <c r="D33" s="35">
        <f>417.7-D32</f>
        <v>222.5</v>
      </c>
      <c r="E33" s="35">
        <f>-329.3-E32</f>
        <v>-173.2</v>
      </c>
      <c r="F33" s="35">
        <f>-16.9-F32</f>
        <v>-10.9</v>
      </c>
      <c r="G33" s="35">
        <f>13+266-393-G32</f>
        <v>54</v>
      </c>
      <c r="H33" s="35">
        <v>-130.7</v>
      </c>
      <c r="I33" s="35">
        <f>-330.6-I32</f>
        <v>-155.9</v>
      </c>
      <c r="J33" s="35">
        <f>D33+E33+F33</f>
        <v>38.4</v>
      </c>
      <c r="K33" s="35">
        <f>AVERAGE(J30:J33)</f>
        <v>96.075</v>
      </c>
      <c r="L33" s="35"/>
      <c r="M33" s="35">
        <f>-(G33+H33)+M32</f>
        <v>-1612.4</v>
      </c>
      <c r="N33" s="35"/>
      <c r="O33" s="35">
        <f>1+O32</f>
        <v>30</v>
      </c>
    </row>
    <row r="34" ht="20.05" customHeight="1">
      <c r="B34" s="33"/>
      <c r="C34" s="34">
        <f>5107-SUM(C32:C33)</f>
        <v>1689.6</v>
      </c>
      <c r="D34" s="35">
        <f>549-SUM(D32:D33)</f>
        <v>131.3</v>
      </c>
      <c r="E34" s="35">
        <f>-542.6-SUM(E32:E33)</f>
        <v>-213.3</v>
      </c>
      <c r="F34" s="35">
        <f>-23.2-F33-F32</f>
        <v>-6.3</v>
      </c>
      <c r="G34" s="35">
        <f>9+277-559-G33-G32</f>
        <v>-159</v>
      </c>
      <c r="H34" s="35"/>
      <c r="I34" s="35">
        <f>-333.5-SUM(I32:I33)</f>
        <v>-2.9</v>
      </c>
      <c r="J34" s="35">
        <f>D34+E34+F34</f>
        <v>-88.3</v>
      </c>
      <c r="K34" s="35">
        <f>AVERAGE(J31:J34)</f>
        <v>63.05</v>
      </c>
      <c r="L34" s="35"/>
      <c r="M34" s="35">
        <f>-(G34+H34)+M33</f>
        <v>-1453.4</v>
      </c>
      <c r="N34" s="35"/>
      <c r="O34" s="35">
        <f>1+O33</f>
        <v>31</v>
      </c>
    </row>
    <row r="35" ht="20.05" customHeight="1">
      <c r="B35" s="33"/>
      <c r="C35" s="34">
        <f>7088.5-C34-C33-C32</f>
        <v>1981.5</v>
      </c>
      <c r="D35" s="35">
        <f>1055.5-D34-D33-D32</f>
        <v>506.5</v>
      </c>
      <c r="E35" s="35">
        <f>-177-E34-E33-E32</f>
        <v>365.6</v>
      </c>
      <c r="F35" s="35">
        <f>-29.3-F34-F33-F32</f>
        <v>-6.1</v>
      </c>
      <c r="G35" s="35">
        <f>95-316+280-1135-G34-G33-G32</f>
        <v>-803</v>
      </c>
      <c r="H35" s="35">
        <f>-130.7+87.1-H34-H33-H32</f>
        <v>87.09999999999999</v>
      </c>
      <c r="I35" s="35">
        <f>-1063-I34-I33-I32</f>
        <v>-729.5</v>
      </c>
      <c r="J35" s="35">
        <f>D35+E35+F35</f>
        <v>866</v>
      </c>
      <c r="K35" s="35">
        <f>AVERAGE(J32:J35)</f>
        <v>212.3</v>
      </c>
      <c r="L35" s="40"/>
      <c r="M35" s="35">
        <f>-(G35+H35)+M34</f>
        <v>-737.5</v>
      </c>
      <c r="N35" s="40"/>
      <c r="O35" s="35">
        <f>1+O34</f>
        <v>32</v>
      </c>
    </row>
    <row r="36" ht="20.05" customHeight="1">
      <c r="B36" s="38">
        <v>2022</v>
      </c>
      <c r="C36" s="34">
        <v>1865</v>
      </c>
      <c r="D36" s="35">
        <v>340.1</v>
      </c>
      <c r="E36" s="35">
        <v>-240.6</v>
      </c>
      <c r="F36" s="35">
        <v>-4.6</v>
      </c>
      <c r="G36" s="35">
        <f>8-13-124</f>
        <v>-129</v>
      </c>
      <c r="H36" s="35">
        <v>0</v>
      </c>
      <c r="I36" s="35">
        <v>-133.6</v>
      </c>
      <c r="J36" s="35">
        <f>D36+E36+F36</f>
        <v>94.90000000000001</v>
      </c>
      <c r="K36" s="35">
        <f>AVERAGE(J33:J36)</f>
        <v>227.75</v>
      </c>
      <c r="L36" s="35">
        <f>K36</f>
        <v>227.75</v>
      </c>
      <c r="M36" s="35">
        <f>-(G36+H36)+M35</f>
        <v>-608.5</v>
      </c>
      <c r="N36" s="35">
        <f>M36</f>
        <v>-608.5</v>
      </c>
      <c r="O36" s="35">
        <f>1+O35</f>
        <v>33</v>
      </c>
    </row>
    <row r="37" ht="20.05" customHeight="1"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>
        <f>SUM('Model'!F9:F10)</f>
        <v>159.716425190280</v>
      </c>
      <c r="M37" s="35"/>
      <c r="N37" s="35">
        <f>'Model'!F33</f>
        <v>-28.4059684467</v>
      </c>
      <c r="O37" s="43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4.3047" style="44" customWidth="1"/>
    <col min="2" max="2" width="6.78125" style="44" customWidth="1"/>
    <col min="3" max="11" width="12.4297" style="44" customWidth="1"/>
    <col min="12" max="16384" width="16.3516" style="44" customWidth="1"/>
  </cols>
  <sheetData>
    <row r="1" ht="27.4" customHeight="1"/>
    <row r="2" ht="27.65" customHeight="1">
      <c r="B2" t="s" s="26">
        <v>22</v>
      </c>
      <c r="C2" s="26"/>
      <c r="D2" s="26"/>
      <c r="E2" s="26"/>
      <c r="F2" s="26"/>
      <c r="G2" s="26"/>
      <c r="H2" s="26"/>
      <c r="I2" s="26"/>
      <c r="J2" s="26"/>
      <c r="K2" s="26"/>
    </row>
    <row r="3" ht="20.25" customHeight="1">
      <c r="B3" t="s" s="27">
        <v>1</v>
      </c>
      <c r="C3" t="s" s="27">
        <v>52</v>
      </c>
      <c r="D3" t="s" s="27">
        <v>53</v>
      </c>
      <c r="E3" t="s" s="27">
        <v>54</v>
      </c>
      <c r="F3" t="s" s="27">
        <v>24</v>
      </c>
      <c r="G3" t="s" s="27">
        <v>11</v>
      </c>
      <c r="H3" t="s" s="27">
        <v>14</v>
      </c>
      <c r="I3" t="s" s="27">
        <v>55</v>
      </c>
      <c r="J3" t="s" s="27">
        <v>27</v>
      </c>
      <c r="K3" t="s" s="27">
        <v>35</v>
      </c>
    </row>
    <row r="4" ht="20.25" customHeight="1">
      <c r="B4" s="28">
        <v>2014</v>
      </c>
      <c r="C4" s="29">
        <v>269</v>
      </c>
      <c r="D4" s="30">
        <v>6118</v>
      </c>
      <c r="E4" s="30">
        <f>D4-C4</f>
        <v>5849</v>
      </c>
      <c r="F4" s="30"/>
      <c r="G4" s="30">
        <v>4288</v>
      </c>
      <c r="H4" s="30">
        <v>1830</v>
      </c>
      <c r="I4" s="30">
        <f>G4+H4-C4-E4</f>
        <v>0</v>
      </c>
      <c r="J4" s="30">
        <f>C4-G4</f>
        <v>-4019</v>
      </c>
      <c r="K4" s="30"/>
    </row>
    <row r="5" ht="20.05" customHeight="1">
      <c r="B5" s="33"/>
      <c r="C5" s="34">
        <v>849</v>
      </c>
      <c r="D5" s="35">
        <v>6665</v>
      </c>
      <c r="E5" s="35">
        <f>D5-C5</f>
        <v>5816</v>
      </c>
      <c r="F5" s="35"/>
      <c r="G5" s="35">
        <v>4661</v>
      </c>
      <c r="H5" s="35">
        <v>2004</v>
      </c>
      <c r="I5" s="35">
        <f>G5+H5-C5-E5</f>
        <v>0</v>
      </c>
      <c r="J5" s="35">
        <f>C5-G5</f>
        <v>-3812</v>
      </c>
      <c r="K5" s="35"/>
    </row>
    <row r="6" ht="20.05" customHeight="1">
      <c r="B6" s="33"/>
      <c r="C6" s="34">
        <v>808</v>
      </c>
      <c r="D6" s="35">
        <v>6777</v>
      </c>
      <c r="E6" s="35">
        <f>D6-C6</f>
        <v>5969</v>
      </c>
      <c r="F6" s="35"/>
      <c r="G6" s="35">
        <v>4616</v>
      </c>
      <c r="H6" s="35">
        <v>2161</v>
      </c>
      <c r="I6" s="35">
        <f>G6+H6-C6-E6</f>
        <v>0</v>
      </c>
      <c r="J6" s="35">
        <f>C6-G6</f>
        <v>-3808</v>
      </c>
      <c r="K6" s="35"/>
    </row>
    <row r="7" ht="20.05" customHeight="1">
      <c r="B7" s="33"/>
      <c r="C7" s="34">
        <v>1070</v>
      </c>
      <c r="D7" s="35">
        <v>7175</v>
      </c>
      <c r="E7" s="35">
        <f>D7-C7</f>
        <v>6105</v>
      </c>
      <c r="F7" s="35"/>
      <c r="G7" s="35">
        <v>4881</v>
      </c>
      <c r="H7" s="35">
        <v>2294</v>
      </c>
      <c r="I7" s="35">
        <f>G7+H7-C7-E7</f>
        <v>0</v>
      </c>
      <c r="J7" s="35">
        <f>C7-G7</f>
        <v>-3811</v>
      </c>
      <c r="K7" s="35"/>
    </row>
    <row r="8" ht="20.05" customHeight="1">
      <c r="B8" s="38">
        <v>2015</v>
      </c>
      <c r="C8" s="34">
        <v>927</v>
      </c>
      <c r="D8" s="35">
        <v>7369</v>
      </c>
      <c r="E8" s="35">
        <f>D8-C8</f>
        <v>6442</v>
      </c>
      <c r="F8" s="35"/>
      <c r="G8" s="35">
        <v>5119</v>
      </c>
      <c r="H8" s="35">
        <v>2249</v>
      </c>
      <c r="I8" s="35">
        <f>G8+H8-C8-E8</f>
        <v>-1</v>
      </c>
      <c r="J8" s="35">
        <f>C8-G8</f>
        <v>-4192</v>
      </c>
      <c r="K8" s="35"/>
    </row>
    <row r="9" ht="20.05" customHeight="1">
      <c r="B9" s="33"/>
      <c r="C9" s="34">
        <v>549</v>
      </c>
      <c r="D9" s="35">
        <v>7351</v>
      </c>
      <c r="E9" s="35">
        <f>D9-C9</f>
        <v>6802</v>
      </c>
      <c r="F9" s="35"/>
      <c r="G9" s="35">
        <v>4981</v>
      </c>
      <c r="H9" s="35">
        <v>2369</v>
      </c>
      <c r="I9" s="35">
        <f>G9+H9-C9-E9</f>
        <v>-1</v>
      </c>
      <c r="J9" s="35">
        <f>C9-G9</f>
        <v>-4432</v>
      </c>
      <c r="K9" s="35"/>
    </row>
    <row r="10" ht="20.05" customHeight="1">
      <c r="B10" s="33"/>
      <c r="C10" s="34">
        <v>490</v>
      </c>
      <c r="D10" s="35">
        <v>7455</v>
      </c>
      <c r="E10" s="35">
        <f>D10-C10</f>
        <v>6965</v>
      </c>
      <c r="F10" s="35"/>
      <c r="G10" s="35">
        <v>5168</v>
      </c>
      <c r="H10" s="35">
        <v>2287</v>
      </c>
      <c r="I10" s="35">
        <f>G10+H10-C10-E10</f>
        <v>0</v>
      </c>
      <c r="J10" s="35">
        <f>C10-G10</f>
        <v>-4678</v>
      </c>
      <c r="K10" s="35"/>
    </row>
    <row r="11" ht="20.05" customHeight="1">
      <c r="B11" s="33"/>
      <c r="C11" s="34">
        <v>798</v>
      </c>
      <c r="D11" s="35">
        <v>7853</v>
      </c>
      <c r="E11" s="35">
        <f>D11-C11</f>
        <v>7055</v>
      </c>
      <c r="F11" s="35"/>
      <c r="G11" s="35">
        <v>5346</v>
      </c>
      <c r="H11" s="35">
        <v>2507</v>
      </c>
      <c r="I11" s="35">
        <f>G11+H11-C11-E11</f>
        <v>0</v>
      </c>
      <c r="J11" s="35">
        <f>C11-G11</f>
        <v>-4548</v>
      </c>
      <c r="K11" s="35"/>
    </row>
    <row r="12" ht="20.05" customHeight="1">
      <c r="B12" s="38">
        <v>2016</v>
      </c>
      <c r="C12" s="34">
        <v>567</v>
      </c>
      <c r="D12" s="35">
        <v>7926</v>
      </c>
      <c r="E12" s="35">
        <f>D12-C12</f>
        <v>7359</v>
      </c>
      <c r="F12" s="35"/>
      <c r="G12" s="35">
        <v>5397</v>
      </c>
      <c r="H12" s="35">
        <v>2528</v>
      </c>
      <c r="I12" s="35">
        <f>G12+H12-C12-E12</f>
        <v>-1</v>
      </c>
      <c r="J12" s="35">
        <f>C12-G12</f>
        <v>-4830</v>
      </c>
      <c r="K12" s="35"/>
    </row>
    <row r="13" ht="20.05" customHeight="1">
      <c r="B13" s="33"/>
      <c r="C13" s="34">
        <v>522</v>
      </c>
      <c r="D13" s="35">
        <v>8243</v>
      </c>
      <c r="E13" s="35">
        <f>D13-C13</f>
        <v>7721</v>
      </c>
      <c r="F13" s="35"/>
      <c r="G13" s="35">
        <v>5763</v>
      </c>
      <c r="H13" s="35">
        <v>2481</v>
      </c>
      <c r="I13" s="35">
        <f>G13+H13-C13-E13</f>
        <v>1</v>
      </c>
      <c r="J13" s="35">
        <f>C13-G13</f>
        <v>-5241</v>
      </c>
      <c r="K13" s="35"/>
    </row>
    <row r="14" ht="20.05" customHeight="1">
      <c r="B14" s="33"/>
      <c r="C14" s="34">
        <v>299</v>
      </c>
      <c r="D14" s="35">
        <v>8403</v>
      </c>
      <c r="E14" s="35">
        <f>D14-C14</f>
        <v>8104</v>
      </c>
      <c r="F14" s="35"/>
      <c r="G14" s="35">
        <v>5926</v>
      </c>
      <c r="H14" s="35">
        <v>2477</v>
      </c>
      <c r="I14" s="35">
        <f>G14+H14-C14-E14</f>
        <v>0</v>
      </c>
      <c r="J14" s="35">
        <f>C14-G14</f>
        <v>-5627</v>
      </c>
      <c r="K14" s="35"/>
    </row>
    <row r="15" ht="20.05" customHeight="1">
      <c r="B15" s="33"/>
      <c r="C15" s="34">
        <v>251</v>
      </c>
      <c r="D15" s="35">
        <v>8183</v>
      </c>
      <c r="E15" s="35">
        <f>D15-C15</f>
        <v>7932</v>
      </c>
      <c r="F15" s="35"/>
      <c r="G15" s="35">
        <v>5479</v>
      </c>
      <c r="H15" s="35">
        <v>2704</v>
      </c>
      <c r="I15" s="35">
        <f>G15+H15-C15-E15</f>
        <v>0</v>
      </c>
      <c r="J15" s="35">
        <f>C15-G15</f>
        <v>-5228</v>
      </c>
      <c r="K15" s="35"/>
    </row>
    <row r="16" ht="20.05" customHeight="1">
      <c r="B16" s="38">
        <v>2017</v>
      </c>
      <c r="C16" s="34">
        <v>201</v>
      </c>
      <c r="D16" s="35">
        <v>8198</v>
      </c>
      <c r="E16" s="35">
        <f>D16-C16</f>
        <v>7997</v>
      </c>
      <c r="F16" s="35"/>
      <c r="G16" s="35">
        <v>5424</v>
      </c>
      <c r="H16" s="35">
        <v>2773</v>
      </c>
      <c r="I16" s="35">
        <f>G16+H16-C16-E16</f>
        <v>-1</v>
      </c>
      <c r="J16" s="35">
        <f>C16-G16</f>
        <v>-5223</v>
      </c>
      <c r="K16" s="35"/>
    </row>
    <row r="17" ht="20.05" customHeight="1">
      <c r="B17" s="33"/>
      <c r="C17" s="34">
        <v>275</v>
      </c>
      <c r="D17" s="35">
        <v>8441</v>
      </c>
      <c r="E17" s="35">
        <f>D17-C17</f>
        <v>8166</v>
      </c>
      <c r="F17" s="35"/>
      <c r="G17" s="35">
        <v>5531</v>
      </c>
      <c r="H17" s="35">
        <v>2910</v>
      </c>
      <c r="I17" s="35">
        <f>G17+H17-C17-E17</f>
        <v>0</v>
      </c>
      <c r="J17" s="35">
        <f>C17-G17</f>
        <v>-5256</v>
      </c>
      <c r="K17" s="35"/>
    </row>
    <row r="18" ht="20.05" customHeight="1">
      <c r="B18" s="33"/>
      <c r="C18" s="34">
        <v>327</v>
      </c>
      <c r="D18" s="35">
        <v>8482</v>
      </c>
      <c r="E18" s="35">
        <f>D18-C18</f>
        <v>8155</v>
      </c>
      <c r="F18" s="35"/>
      <c r="G18" s="35">
        <v>5411</v>
      </c>
      <c r="H18" s="35">
        <v>3071</v>
      </c>
      <c r="I18" s="35">
        <f>G18+H18-C18-E18</f>
        <v>0</v>
      </c>
      <c r="J18" s="35">
        <f>C18-G18</f>
        <v>-5084</v>
      </c>
      <c r="K18" s="35"/>
    </row>
    <row r="19" ht="20.05" customHeight="1">
      <c r="B19" s="33"/>
      <c r="C19" s="34">
        <v>381</v>
      </c>
      <c r="D19" s="35">
        <v>8336</v>
      </c>
      <c r="E19" s="35">
        <f>D19-C19</f>
        <v>7955</v>
      </c>
      <c r="F19" s="35"/>
      <c r="G19" s="35">
        <v>5086</v>
      </c>
      <c r="H19" s="35">
        <v>3250</v>
      </c>
      <c r="I19" s="35">
        <f>G19+H19-C19-E19</f>
        <v>0</v>
      </c>
      <c r="J19" s="35">
        <f>C19-G19</f>
        <v>-4705</v>
      </c>
      <c r="K19" s="35"/>
    </row>
    <row r="20" ht="20.05" customHeight="1">
      <c r="B20" s="38">
        <v>2018</v>
      </c>
      <c r="C20" s="34">
        <v>257</v>
      </c>
      <c r="D20" s="35">
        <v>8326</v>
      </c>
      <c r="E20" s="35">
        <f>D20-C20</f>
        <v>8069</v>
      </c>
      <c r="F20" s="35"/>
      <c r="G20" s="35">
        <v>5025</v>
      </c>
      <c r="H20" s="35">
        <v>3301</v>
      </c>
      <c r="I20" s="35">
        <f>G20+H20-C20-E20</f>
        <v>0</v>
      </c>
      <c r="J20" s="35">
        <f>C20-G20</f>
        <v>-4768</v>
      </c>
      <c r="K20" s="35"/>
    </row>
    <row r="21" ht="20.05" customHeight="1">
      <c r="B21" s="33"/>
      <c r="C21" s="34">
        <v>375</v>
      </c>
      <c r="D21" s="35">
        <v>9031</v>
      </c>
      <c r="E21" s="35">
        <f>D21-C21</f>
        <v>8656</v>
      </c>
      <c r="F21" s="35"/>
      <c r="G21" s="35">
        <v>5552</v>
      </c>
      <c r="H21" s="35">
        <v>3478</v>
      </c>
      <c r="I21" s="35">
        <f>G21+H21-C21-E21</f>
        <v>-1</v>
      </c>
      <c r="J21" s="35">
        <f>C21-G21</f>
        <v>-5177</v>
      </c>
      <c r="K21" s="35"/>
    </row>
    <row r="22" ht="20.05" customHeight="1">
      <c r="B22" s="33"/>
      <c r="C22" s="34">
        <v>335</v>
      </c>
      <c r="D22" s="35">
        <v>9050</v>
      </c>
      <c r="E22" s="35">
        <f>D22-C22</f>
        <v>8715</v>
      </c>
      <c r="F22" s="35"/>
      <c r="G22" s="35">
        <v>5423</v>
      </c>
      <c r="H22" s="35">
        <v>3627</v>
      </c>
      <c r="I22" s="35">
        <f>G22+H22-C22-E22</f>
        <v>0</v>
      </c>
      <c r="J22" s="35">
        <f>C22-G22</f>
        <v>-5088</v>
      </c>
      <c r="K22" s="35"/>
    </row>
    <row r="23" ht="20.05" customHeight="1">
      <c r="B23" s="33"/>
      <c r="C23" s="34">
        <v>524</v>
      </c>
      <c r="D23" s="35">
        <v>11739</v>
      </c>
      <c r="E23" s="35">
        <f>D23-C23</f>
        <v>11215</v>
      </c>
      <c r="F23" s="35"/>
      <c r="G23" s="35">
        <v>8080</v>
      </c>
      <c r="H23" s="35">
        <v>3659</v>
      </c>
      <c r="I23" s="35">
        <f>G23+H23-C23-E23</f>
        <v>0</v>
      </c>
      <c r="J23" s="35">
        <f>C23-G23</f>
        <v>-7556</v>
      </c>
      <c r="K23" s="35"/>
    </row>
    <row r="24" ht="20.05" customHeight="1">
      <c r="B24" s="38">
        <v>2019</v>
      </c>
      <c r="C24" s="34">
        <v>401</v>
      </c>
      <c r="D24" s="35">
        <v>11485</v>
      </c>
      <c r="E24" s="35">
        <f>D24-C24</f>
        <v>11084</v>
      </c>
      <c r="F24" s="35"/>
      <c r="G24" s="35">
        <v>7759</v>
      </c>
      <c r="H24" s="35">
        <v>3726</v>
      </c>
      <c r="I24" s="35">
        <f>G24+H24-C24-E24</f>
        <v>0</v>
      </c>
      <c r="J24" s="35">
        <f>C24-G24</f>
        <v>-7358</v>
      </c>
      <c r="K24" s="35"/>
    </row>
    <row r="25" ht="20.05" customHeight="1">
      <c r="B25" s="33"/>
      <c r="C25" s="34">
        <v>228</v>
      </c>
      <c r="D25" s="35">
        <v>11295</v>
      </c>
      <c r="E25" s="35">
        <f>D25-C25</f>
        <v>11067</v>
      </c>
      <c r="F25" s="35"/>
      <c r="G25" s="35">
        <v>7673</v>
      </c>
      <c r="H25" s="35">
        <v>3623</v>
      </c>
      <c r="I25" s="35">
        <f>G25+H25-C25-E25</f>
        <v>1</v>
      </c>
      <c r="J25" s="35">
        <f>C25-G25</f>
        <v>-7445</v>
      </c>
      <c r="K25" s="35"/>
    </row>
    <row r="26" ht="20.05" customHeight="1">
      <c r="B26" s="33"/>
      <c r="C26" s="34">
        <v>245</v>
      </c>
      <c r="D26" s="35">
        <v>11315</v>
      </c>
      <c r="E26" s="35">
        <f>D26-C26</f>
        <v>11070</v>
      </c>
      <c r="F26" s="35"/>
      <c r="G26" s="35">
        <v>7699</v>
      </c>
      <c r="H26" s="35">
        <v>3616</v>
      </c>
      <c r="I26" s="35">
        <f>G26+H26-C26-E26</f>
        <v>0</v>
      </c>
      <c r="J26" s="35">
        <f>C26-G26</f>
        <v>-7454</v>
      </c>
      <c r="K26" s="35"/>
    </row>
    <row r="27" ht="20.05" customHeight="1">
      <c r="B27" s="33"/>
      <c r="C27" s="34">
        <v>270</v>
      </c>
      <c r="D27" s="35">
        <v>11621</v>
      </c>
      <c r="E27" s="35">
        <f>D27-C27</f>
        <v>11351</v>
      </c>
      <c r="F27" s="35"/>
      <c r="G27" s="35">
        <v>7889</v>
      </c>
      <c r="H27" s="35">
        <v>3732</v>
      </c>
      <c r="I27" s="35">
        <f>G27+H27-C27-E27</f>
        <v>0</v>
      </c>
      <c r="J27" s="35">
        <f>C27-G27</f>
        <v>-7619</v>
      </c>
      <c r="K27" s="35"/>
    </row>
    <row r="28" ht="20.05" customHeight="1">
      <c r="B28" s="38">
        <v>2020</v>
      </c>
      <c r="C28" s="34">
        <v>366.2</v>
      </c>
      <c r="D28" s="35">
        <v>12006</v>
      </c>
      <c r="E28" s="35">
        <f>D28-C28</f>
        <v>11639.8</v>
      </c>
      <c r="F28" s="35"/>
      <c r="G28" s="35">
        <v>8195</v>
      </c>
      <c r="H28" s="35">
        <v>3811</v>
      </c>
      <c r="I28" s="35">
        <f>G28+H28-C28-E28</f>
        <v>0</v>
      </c>
      <c r="J28" s="35">
        <f>C28-G28</f>
        <v>-7828.8</v>
      </c>
      <c r="K28" s="35"/>
    </row>
    <row r="29" ht="20.05" customHeight="1">
      <c r="B29" s="33"/>
      <c r="C29" s="34">
        <v>288</v>
      </c>
      <c r="D29" s="35">
        <v>11710</v>
      </c>
      <c r="E29" s="35">
        <f>D29-C29</f>
        <v>11422</v>
      </c>
      <c r="F29" s="35">
        <f>1984+1074</f>
        <v>3058</v>
      </c>
      <c r="G29" s="35">
        <v>7854</v>
      </c>
      <c r="H29" s="35">
        <v>3856</v>
      </c>
      <c r="I29" s="35">
        <f>G29+H29-C29-E29</f>
        <v>0</v>
      </c>
      <c r="J29" s="35">
        <f>C29-G29</f>
        <v>-7566</v>
      </c>
      <c r="K29" s="35"/>
    </row>
    <row r="30" ht="20.05" customHeight="1">
      <c r="B30" s="33"/>
      <c r="C30" s="34">
        <v>378</v>
      </c>
      <c r="D30" s="35">
        <v>11675</v>
      </c>
      <c r="E30" s="35">
        <f>D30-C30</f>
        <v>11297</v>
      </c>
      <c r="F30" s="35">
        <f>F29+'Sales'!E30</f>
        <v>3204</v>
      </c>
      <c r="G30" s="35">
        <v>7836</v>
      </c>
      <c r="H30" s="35">
        <v>3838</v>
      </c>
      <c r="I30" s="35">
        <f>G30+H30-C30-E30</f>
        <v>-1</v>
      </c>
      <c r="J30" s="35">
        <f>C30-G30</f>
        <v>-7458</v>
      </c>
      <c r="K30" s="35"/>
    </row>
    <row r="31" ht="20.05" customHeight="1">
      <c r="B31" s="33"/>
      <c r="C31" s="34">
        <v>648</v>
      </c>
      <c r="D31" s="35">
        <v>14151</v>
      </c>
      <c r="E31" s="35">
        <f>D31-C31</f>
        <v>13503</v>
      </c>
      <c r="F31" s="35">
        <f>2160+2+1188</f>
        <v>3350</v>
      </c>
      <c r="G31" s="35">
        <v>7920</v>
      </c>
      <c r="H31" s="35">
        <v>6231</v>
      </c>
      <c r="I31" s="35">
        <f>G31+H31-C31-E31</f>
        <v>0</v>
      </c>
      <c r="J31" s="35">
        <f>C31-G31</f>
        <v>-7272</v>
      </c>
      <c r="K31" s="35"/>
    </row>
    <row r="32" ht="20.05" customHeight="1">
      <c r="B32" s="38">
        <v>2021</v>
      </c>
      <c r="C32" s="34">
        <v>511</v>
      </c>
      <c r="D32" s="35">
        <v>14092</v>
      </c>
      <c r="E32" s="35">
        <f>D32-C32</f>
        <v>13581</v>
      </c>
      <c r="F32" s="35">
        <f>2249+2+1248</f>
        <v>3499</v>
      </c>
      <c r="G32" s="35">
        <v>7762</v>
      </c>
      <c r="H32" s="35">
        <v>6330</v>
      </c>
      <c r="I32" s="35">
        <f>G32+H32-C32-E32</f>
        <v>0</v>
      </c>
      <c r="J32" s="35">
        <f>C32-G32</f>
        <v>-7251</v>
      </c>
      <c r="K32" s="35"/>
    </row>
    <row r="33" ht="20.05" customHeight="1">
      <c r="B33" s="33"/>
      <c r="C33" s="34">
        <v>393</v>
      </c>
      <c r="D33" s="35">
        <v>14052</v>
      </c>
      <c r="E33" s="35">
        <f>D33-C33</f>
        <v>13659</v>
      </c>
      <c r="F33" s="35">
        <f>14+2334+1307</f>
        <v>3655</v>
      </c>
      <c r="G33" s="35">
        <v>7738</v>
      </c>
      <c r="H33" s="35">
        <v>6314</v>
      </c>
      <c r="I33" s="35">
        <f>G33+H33-C33-E33</f>
        <v>0</v>
      </c>
      <c r="J33" s="35">
        <f>C33-G33</f>
        <v>-7345</v>
      </c>
      <c r="K33" s="35"/>
    </row>
    <row r="34" ht="20.05" customHeight="1">
      <c r="B34" s="33"/>
      <c r="C34" s="34">
        <v>318</v>
      </c>
      <c r="D34" s="35">
        <v>13967</v>
      </c>
      <c r="E34" s="35">
        <f>D34-C34</f>
        <v>13649</v>
      </c>
      <c r="F34" s="35">
        <f>18+2427+1367</f>
        <v>3812</v>
      </c>
      <c r="G34" s="35">
        <v>7442</v>
      </c>
      <c r="H34" s="35">
        <v>6525</v>
      </c>
      <c r="I34" s="35">
        <f>G34+H34-C34-E34</f>
        <v>0</v>
      </c>
      <c r="J34" s="35">
        <f>C34-G34</f>
        <v>-7124</v>
      </c>
      <c r="K34" s="35"/>
    </row>
    <row r="35" ht="20.05" customHeight="1">
      <c r="B35" s="33"/>
      <c r="C35" s="34">
        <v>420</v>
      </c>
      <c r="D35" s="35">
        <v>13712</v>
      </c>
      <c r="E35" s="35">
        <f>D35-C35</f>
        <v>13292</v>
      </c>
      <c r="F35" s="35">
        <f>1426+2519</f>
        <v>3945</v>
      </c>
      <c r="G35" s="35">
        <v>6687</v>
      </c>
      <c r="H35" s="35">
        <f>D35-G35</f>
        <v>7025</v>
      </c>
      <c r="I35" s="35">
        <f>G35+H35-C35-E35</f>
        <v>0</v>
      </c>
      <c r="J35" s="35">
        <f>C35-G35</f>
        <v>-6267</v>
      </c>
      <c r="K35" s="40"/>
    </row>
    <row r="36" ht="20.05" customHeight="1">
      <c r="B36" s="38">
        <v>2022</v>
      </c>
      <c r="C36" s="34">
        <f>C35+'Cashflow'!D36+'Cashflow'!E36+'Cashflow'!I36</f>
        <v>385.9</v>
      </c>
      <c r="D36" s="35">
        <v>14175</v>
      </c>
      <c r="E36" s="35">
        <f>D36-C36</f>
        <v>13789.1</v>
      </c>
      <c r="F36" s="35">
        <f>1486+2618</f>
        <v>4104</v>
      </c>
      <c r="G36" s="35">
        <v>6941</v>
      </c>
      <c r="H36" s="35">
        <f>D36-G36</f>
        <v>7234</v>
      </c>
      <c r="I36" s="35">
        <f>G36+H36-C36-E36</f>
        <v>0</v>
      </c>
      <c r="J36" s="35">
        <f>C36-G36</f>
        <v>-6555.1</v>
      </c>
      <c r="K36" s="35">
        <f>J36</f>
        <v>-6555.1</v>
      </c>
    </row>
    <row r="37" ht="20.05" customHeight="1">
      <c r="B37" s="33"/>
      <c r="C37" s="34"/>
      <c r="D37" s="35"/>
      <c r="E37" s="35"/>
      <c r="F37" s="35"/>
      <c r="G37" s="35"/>
      <c r="H37" s="35"/>
      <c r="I37" s="35"/>
      <c r="J37" s="35"/>
      <c r="K37" s="35">
        <f>'Model'!F31</f>
        <v>-6065.655371602030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/>
  </sheetViews>
  <sheetFormatPr defaultColWidth="8.33333" defaultRowHeight="19.9" customHeight="1" outlineLevelRow="0" outlineLevelCol="0"/>
  <cols>
    <col min="1" max="1" width="7.17188" style="45" customWidth="1"/>
    <col min="2" max="2" width="6.60156" style="45" customWidth="1"/>
    <col min="3" max="5" width="10.0703" style="45" customWidth="1"/>
    <col min="6" max="16384" width="8.35156" style="45" customWidth="1"/>
  </cols>
  <sheetData>
    <row r="1" ht="38" customHeight="1"/>
    <row r="2" ht="27.65" customHeight="1">
      <c r="B2" t="s" s="26">
        <v>56</v>
      </c>
      <c r="C2" s="26"/>
      <c r="D2" s="26"/>
      <c r="E2" s="26"/>
    </row>
    <row r="3" ht="20.25" customHeight="1">
      <c r="B3" t="s" s="46">
        <v>57</v>
      </c>
      <c r="C3" t="s" s="46">
        <v>58</v>
      </c>
      <c r="D3" t="s" s="46">
        <v>38</v>
      </c>
      <c r="E3" t="s" s="46">
        <v>59</v>
      </c>
    </row>
    <row r="4" ht="20.25" customHeight="1">
      <c r="B4" s="47">
        <v>2018</v>
      </c>
      <c r="C4" s="48">
        <v>432</v>
      </c>
      <c r="D4" s="49"/>
      <c r="E4" s="49"/>
    </row>
    <row r="5" ht="20.05" customHeight="1">
      <c r="B5" s="50"/>
      <c r="C5" s="51">
        <v>406</v>
      </c>
      <c r="D5" s="52"/>
      <c r="E5" s="52"/>
    </row>
    <row r="6" ht="20.05" customHeight="1">
      <c r="B6" s="50"/>
      <c r="C6" s="51">
        <v>380</v>
      </c>
      <c r="D6" s="52"/>
      <c r="E6" s="52"/>
    </row>
    <row r="7" ht="20.05" customHeight="1">
      <c r="B7" s="50"/>
      <c r="C7" s="51">
        <v>410</v>
      </c>
      <c r="D7" s="52"/>
      <c r="E7" s="52"/>
    </row>
    <row r="8" ht="20.05" customHeight="1">
      <c r="B8" s="53">
        <v>2019</v>
      </c>
      <c r="C8" s="51">
        <v>394</v>
      </c>
      <c r="D8" s="52"/>
      <c r="E8" s="52"/>
    </row>
    <row r="9" ht="20.05" customHeight="1">
      <c r="B9" s="50"/>
      <c r="C9" s="51">
        <v>370</v>
      </c>
      <c r="D9" s="52"/>
      <c r="E9" s="52"/>
    </row>
    <row r="10" ht="20.05" customHeight="1">
      <c r="B10" s="50"/>
      <c r="C10" s="51">
        <v>314</v>
      </c>
      <c r="D10" s="52"/>
      <c r="E10" s="52"/>
    </row>
    <row r="11" ht="20.05" customHeight="1">
      <c r="B11" s="50"/>
      <c r="C11" s="51">
        <v>452.628204</v>
      </c>
      <c r="D11" s="52"/>
      <c r="E11" s="52"/>
    </row>
    <row r="12" ht="20.05" customHeight="1">
      <c r="B12" s="53">
        <v>2020</v>
      </c>
      <c r="C12" s="51">
        <v>322.743591</v>
      </c>
      <c r="D12" s="52"/>
      <c r="E12" s="52"/>
    </row>
    <row r="13" ht="20.05" customHeight="1">
      <c r="B13" s="50"/>
      <c r="C13" s="51">
        <v>360</v>
      </c>
      <c r="D13" s="52"/>
      <c r="E13" s="52"/>
    </row>
    <row r="14" ht="20.05" customHeight="1">
      <c r="B14" s="50"/>
      <c r="C14" s="54">
        <v>458</v>
      </c>
      <c r="D14" s="52"/>
      <c r="E14" s="52"/>
    </row>
    <row r="15" ht="20.05" customHeight="1">
      <c r="B15" s="50"/>
      <c r="C15" s="54">
        <v>610</v>
      </c>
      <c r="D15" s="52"/>
      <c r="E15" s="52"/>
    </row>
    <row r="16" ht="20.05" customHeight="1">
      <c r="B16" s="53">
        <v>2021</v>
      </c>
      <c r="C16" s="54">
        <v>562.817749</v>
      </c>
      <c r="D16" s="52"/>
      <c r="E16" s="52"/>
    </row>
    <row r="17" ht="20.05" customHeight="1">
      <c r="B17" s="50"/>
      <c r="C17" s="54">
        <v>500</v>
      </c>
      <c r="D17" s="52"/>
      <c r="E17" s="52"/>
    </row>
    <row r="18" ht="20.05" customHeight="1">
      <c r="B18" s="50"/>
      <c r="C18" s="54">
        <v>555</v>
      </c>
      <c r="D18" s="52"/>
      <c r="E18" s="52"/>
    </row>
    <row r="19" ht="20.05" customHeight="1">
      <c r="B19" s="50"/>
      <c r="C19" s="54">
        <v>500</v>
      </c>
      <c r="D19" s="52"/>
      <c r="E19" s="52"/>
    </row>
    <row r="20" ht="20.05" customHeight="1">
      <c r="B20" s="53">
        <v>2022</v>
      </c>
      <c r="C20" s="54">
        <v>640</v>
      </c>
      <c r="D20" s="52"/>
      <c r="E20" s="55">
        <v>907.1830699808741</v>
      </c>
    </row>
    <row r="21" ht="20.05" customHeight="1">
      <c r="B21" s="50"/>
      <c r="C21" s="54">
        <v>620</v>
      </c>
      <c r="D21" s="55">
        <f>C21</f>
        <v>620</v>
      </c>
      <c r="E21" s="55">
        <v>1489.154803294050</v>
      </c>
    </row>
    <row r="22" ht="20.05" customHeight="1">
      <c r="B22" s="50"/>
      <c r="C22" s="54"/>
      <c r="D22" s="55">
        <f>'Model'!F44</f>
        <v>723.074881823469</v>
      </c>
      <c r="E22" s="5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S3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2422" style="56" customWidth="1"/>
    <col min="11" max="19" width="11.375" style="60" customWidth="1"/>
    <col min="20" max="16384" width="16.3516" style="60" customWidth="1"/>
  </cols>
  <sheetData>
    <row r="1" ht="27.65" customHeight="1">
      <c r="A1" t="s" s="26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ht="20.25" customHeight="1">
      <c r="A2" t="s" s="27">
        <v>1</v>
      </c>
      <c r="B2" t="s" s="27">
        <v>11</v>
      </c>
      <c r="C2" t="s" s="27">
        <v>14</v>
      </c>
      <c r="D2" t="s" s="27">
        <v>61</v>
      </c>
      <c r="E2" t="s" s="27">
        <v>11</v>
      </c>
      <c r="F2" t="s" s="27">
        <v>14</v>
      </c>
      <c r="G2" t="s" s="27">
        <v>61</v>
      </c>
      <c r="H2" s="57"/>
      <c r="I2" s="57"/>
      <c r="J2" s="57"/>
    </row>
    <row r="3" ht="20.25" customHeight="1">
      <c r="A3" s="28">
        <v>2010</v>
      </c>
      <c r="B3" s="29">
        <v>342</v>
      </c>
      <c r="C3" s="30">
        <v>0</v>
      </c>
      <c r="D3" s="30">
        <f>B3+C3</f>
        <v>342</v>
      </c>
      <c r="E3" s="30">
        <f>B3</f>
        <v>342</v>
      </c>
      <c r="F3" s="30">
        <f>C3</f>
        <v>0</v>
      </c>
      <c r="G3" s="30">
        <f>D3</f>
        <v>342</v>
      </c>
      <c r="H3" s="58"/>
      <c r="I3" s="58"/>
      <c r="J3" s="58"/>
    </row>
    <row r="4" ht="20.05" customHeight="1">
      <c r="A4" s="38">
        <f>1+$A3</f>
        <v>2011</v>
      </c>
      <c r="B4" s="34">
        <v>233</v>
      </c>
      <c r="C4" s="35">
        <v>0</v>
      </c>
      <c r="D4" s="35">
        <f>B4+C4</f>
        <v>233</v>
      </c>
      <c r="E4" s="35">
        <f>B4+E3</f>
        <v>575</v>
      </c>
      <c r="F4" s="35">
        <f>C4+F3</f>
        <v>0</v>
      </c>
      <c r="G4" s="35">
        <f>D4+G3</f>
        <v>575</v>
      </c>
      <c r="H4" s="40"/>
      <c r="I4" s="40"/>
      <c r="J4" s="40"/>
    </row>
    <row r="5" ht="20.05" customHeight="1">
      <c r="A5" s="38">
        <f>1+$A4</f>
        <v>2012</v>
      </c>
      <c r="B5" s="34">
        <v>756</v>
      </c>
      <c r="C5" s="35">
        <v>73</v>
      </c>
      <c r="D5" s="35">
        <f>B5+C5</f>
        <v>829</v>
      </c>
      <c r="E5" s="35">
        <f>B5+E4</f>
        <v>1331</v>
      </c>
      <c r="F5" s="35">
        <f>C5+F4</f>
        <v>73</v>
      </c>
      <c r="G5" s="35">
        <f>D5+G4</f>
        <v>1404</v>
      </c>
      <c r="H5" s="40"/>
      <c r="I5" s="40"/>
      <c r="J5" s="40"/>
    </row>
    <row r="6" ht="20.05" customHeight="1">
      <c r="A6" s="38">
        <f>1+$A5</f>
        <v>2013</v>
      </c>
      <c r="B6" s="34">
        <v>50</v>
      </c>
      <c r="C6" s="35">
        <v>385</v>
      </c>
      <c r="D6" s="35">
        <f>B6+C6</f>
        <v>435</v>
      </c>
      <c r="E6" s="35">
        <f>B6+E5</f>
        <v>1381</v>
      </c>
      <c r="F6" s="35">
        <f>C6+F5</f>
        <v>458</v>
      </c>
      <c r="G6" s="35">
        <f>D6+G5</f>
        <v>1839</v>
      </c>
      <c r="H6" s="40"/>
      <c r="I6" s="40"/>
      <c r="J6" s="40"/>
    </row>
    <row r="7" ht="20.05" customHeight="1">
      <c r="A7" s="38">
        <f>1+$A6</f>
        <v>2014</v>
      </c>
      <c r="B7" s="34">
        <v>508</v>
      </c>
      <c r="C7" s="35">
        <v>-42</v>
      </c>
      <c r="D7" s="35">
        <f>B7+C7</f>
        <v>466</v>
      </c>
      <c r="E7" s="35">
        <f>B7+E6</f>
        <v>1889</v>
      </c>
      <c r="F7" s="35">
        <f>C7+F6</f>
        <v>416</v>
      </c>
      <c r="G7" s="35">
        <f>D7+G6</f>
        <v>2305</v>
      </c>
      <c r="H7" s="40"/>
      <c r="I7" s="40"/>
      <c r="J7" s="40"/>
    </row>
    <row r="8" ht="20.05" customHeight="1">
      <c r="A8" s="38">
        <f>1+$A7</f>
        <v>2015</v>
      </c>
      <c r="B8" s="34">
        <v>557</v>
      </c>
      <c r="C8" s="35">
        <v>-184</v>
      </c>
      <c r="D8" s="35">
        <f>B8+C8</f>
        <v>373</v>
      </c>
      <c r="E8" s="35">
        <f>B8+E7</f>
        <v>2446</v>
      </c>
      <c r="F8" s="35">
        <f>C8+F7</f>
        <v>232</v>
      </c>
      <c r="G8" s="35">
        <f>D8+G7</f>
        <v>2678</v>
      </c>
      <c r="H8" s="40"/>
      <c r="I8" s="40"/>
      <c r="J8" s="40"/>
    </row>
    <row r="9" ht="20.05" customHeight="1">
      <c r="A9" s="38">
        <f>1+$A8</f>
        <v>2016</v>
      </c>
      <c r="B9" s="34">
        <v>212</v>
      </c>
      <c r="C9" s="35">
        <v>-58</v>
      </c>
      <c r="D9" s="35">
        <f>B9+C9</f>
        <v>154</v>
      </c>
      <c r="E9" s="35">
        <f>B9+E8</f>
        <v>2658</v>
      </c>
      <c r="F9" s="35">
        <f>C9+F8</f>
        <v>174</v>
      </c>
      <c r="G9" s="35">
        <f>D9+G8</f>
        <v>2832</v>
      </c>
      <c r="H9" s="40"/>
      <c r="I9" s="40"/>
      <c r="J9" s="40"/>
    </row>
    <row r="10" ht="20.05" customHeight="1">
      <c r="A10" s="38">
        <f>1+$A9</f>
        <v>2017</v>
      </c>
      <c r="B10" s="34">
        <v>-352</v>
      </c>
      <c r="C10" s="35">
        <v>-52</v>
      </c>
      <c r="D10" s="35">
        <f>B10+C10</f>
        <v>-404</v>
      </c>
      <c r="E10" s="35">
        <f>B10+E9</f>
        <v>2306</v>
      </c>
      <c r="F10" s="35">
        <f>C10+F9</f>
        <v>122</v>
      </c>
      <c r="G10" s="35">
        <f>D10+G9</f>
        <v>2428</v>
      </c>
      <c r="H10" s="40"/>
      <c r="I10" s="40"/>
      <c r="J10" s="40"/>
    </row>
    <row r="11" ht="20.05" customHeight="1">
      <c r="A11" s="38">
        <f>1+$A10</f>
        <v>2018</v>
      </c>
      <c r="B11" s="34">
        <v>1408</v>
      </c>
      <c r="C11" s="35">
        <v>-105</v>
      </c>
      <c r="D11" s="35">
        <f>B11+C11</f>
        <v>1303</v>
      </c>
      <c r="E11" s="35">
        <f>B11+E10</f>
        <v>3714</v>
      </c>
      <c r="F11" s="35">
        <f>C11+F10</f>
        <v>17</v>
      </c>
      <c r="G11" s="35">
        <f>D11+G10</f>
        <v>3731</v>
      </c>
      <c r="H11" s="40"/>
      <c r="I11" s="40"/>
      <c r="J11" s="40"/>
    </row>
    <row r="12" ht="20.05" customHeight="1">
      <c r="A12" s="38">
        <f>1+$A11</f>
        <v>2019</v>
      </c>
      <c r="B12" s="34">
        <v>-153</v>
      </c>
      <c r="C12" s="35">
        <v>-105</v>
      </c>
      <c r="D12" s="35">
        <f>B12+C12</f>
        <v>-258</v>
      </c>
      <c r="E12" s="35">
        <f>B12+E11</f>
        <v>3561</v>
      </c>
      <c r="F12" s="35">
        <f>C12+F11</f>
        <v>-88</v>
      </c>
      <c r="G12" s="35">
        <f>D12+G11</f>
        <v>3473</v>
      </c>
      <c r="H12" s="40"/>
      <c r="I12" s="40"/>
      <c r="J12" s="40"/>
    </row>
    <row r="13" ht="20.05" customHeight="1">
      <c r="A13" s="38">
        <f>1+$A12</f>
        <v>2020</v>
      </c>
      <c r="B13" s="34">
        <v>265</v>
      </c>
      <c r="C13" s="35">
        <v>-52</v>
      </c>
      <c r="D13" s="35">
        <f>B13+C13</f>
        <v>213</v>
      </c>
      <c r="E13" s="35">
        <f>B13+E12</f>
        <v>3826</v>
      </c>
      <c r="F13" s="35">
        <f>C13+F12</f>
        <v>-140</v>
      </c>
      <c r="G13" s="35">
        <f>D13+G12</f>
        <v>3686</v>
      </c>
      <c r="H13" s="40"/>
      <c r="I13" s="40"/>
      <c r="J13" s="40"/>
    </row>
    <row r="14" ht="20.05" customHeight="1">
      <c r="A14" s="38">
        <f>1+$A13</f>
        <v>2021</v>
      </c>
      <c r="B14" s="34">
        <f>SUM('Cashflow'!G32:G35)</f>
        <v>-1076</v>
      </c>
      <c r="C14" s="35">
        <f>SUM('Cashflow'!H32:H35)</f>
        <v>-43.6</v>
      </c>
      <c r="D14" s="35">
        <f>B14+C14</f>
        <v>-1119.6</v>
      </c>
      <c r="E14" s="35">
        <f>B14+E13</f>
        <v>2750</v>
      </c>
      <c r="F14" s="35">
        <f>C14+F13</f>
        <v>-183.6</v>
      </c>
      <c r="G14" s="35">
        <f>D14+G13</f>
        <v>2566.4</v>
      </c>
      <c r="H14" s="35">
        <f>AVERAGE(D3:D14)</f>
        <v>213.866666666667</v>
      </c>
      <c r="I14" s="35">
        <f>AVERAGE(D10:D14)</f>
        <v>-53.12</v>
      </c>
      <c r="J14" s="59">
        <f>D14</f>
        <v>-1119.6</v>
      </c>
    </row>
    <row r="16" ht="27.65" customHeight="1">
      <c r="K16" t="s" s="26">
        <v>62</v>
      </c>
      <c r="L16" s="26"/>
      <c r="M16" s="26"/>
      <c r="N16" s="26"/>
      <c r="O16" s="26"/>
      <c r="P16" s="26"/>
      <c r="Q16" s="26"/>
      <c r="R16" s="26"/>
      <c r="S16" s="26"/>
    </row>
    <row r="17" ht="20.25" customHeight="1">
      <c r="K17" s="57"/>
      <c r="L17" s="57"/>
      <c r="M17" s="57"/>
      <c r="N17" s="57"/>
      <c r="O17" s="57"/>
      <c r="P17" s="57"/>
      <c r="Q17" s="57"/>
      <c r="R17" s="57"/>
      <c r="S17" s="57"/>
    </row>
    <row r="18" ht="32.25" customHeight="1">
      <c r="K18" s="61"/>
      <c r="L18" t="s" s="62">
        <v>58</v>
      </c>
      <c r="M18" t="s" s="63">
        <v>63</v>
      </c>
      <c r="N18" s="58"/>
      <c r="O18" s="58"/>
      <c r="P18" s="58"/>
      <c r="Q18" s="58"/>
      <c r="R18" s="58"/>
      <c r="S18" s="58"/>
    </row>
    <row r="19" ht="20.05" customHeight="1">
      <c r="K19" s="33"/>
      <c r="L19" s="64">
        <v>44621</v>
      </c>
      <c r="M19" s="59">
        <v>13</v>
      </c>
      <c r="N19" s="59">
        <v>2022</v>
      </c>
      <c r="O19" s="40"/>
      <c r="P19" s="40"/>
      <c r="Q19" s="40"/>
      <c r="R19" s="40"/>
      <c r="S19" s="40"/>
    </row>
    <row r="20" ht="20.05" customHeight="1">
      <c r="K20" s="33"/>
      <c r="L20" t="s" s="65">
        <v>64</v>
      </c>
      <c r="M20" s="59">
        <f>$A3</f>
        <v>2010</v>
      </c>
      <c r="N20" s="40"/>
      <c r="O20" s="40"/>
      <c r="P20" s="40"/>
      <c r="Q20" s="40"/>
      <c r="R20" s="40"/>
      <c r="S20" s="40"/>
    </row>
    <row r="21" ht="32.05" customHeight="1">
      <c r="K21" s="33"/>
      <c r="L21" t="s" s="65">
        <v>65</v>
      </c>
      <c r="M21" s="59">
        <f>(2022-M20)*4</f>
        <v>48</v>
      </c>
      <c r="N21" s="40"/>
      <c r="O21" s="40"/>
      <c r="P21" s="40"/>
      <c r="Q21" s="40"/>
      <c r="R21" s="40"/>
      <c r="S21" s="40"/>
    </row>
    <row r="22" ht="20.05" customHeight="1">
      <c r="K22" s="33"/>
      <c r="L22" t="s" s="65">
        <v>11</v>
      </c>
      <c r="M22" s="35">
        <f>R26</f>
        <v>2750</v>
      </c>
      <c r="N22" t="s" s="66">
        <f>R23</f>
        <v>66</v>
      </c>
      <c r="O22" t="s" s="66">
        <f>IF(M22&gt;0,"raised","paid")</f>
        <v>67</v>
      </c>
      <c r="P22" s="40"/>
      <c r="Q22" s="40"/>
      <c r="R22" s="40"/>
      <c r="S22" s="40"/>
    </row>
    <row r="23" ht="32.05" customHeight="1">
      <c r="K23" s="33"/>
      <c r="L23" t="s" s="65">
        <f>L18</f>
        <v>58</v>
      </c>
      <c r="M23" t="s" s="66">
        <v>68</v>
      </c>
      <c r="N23" t="s" s="66">
        <f>IF(Q23&gt;0,"raised","paid")</f>
        <v>67</v>
      </c>
      <c r="O23" t="s" s="66">
        <v>69</v>
      </c>
      <c r="P23" t="s" s="66">
        <v>70</v>
      </c>
      <c r="Q23" s="35">
        <f>AVERAGE(B3:B14)</f>
        <v>229.166666666667</v>
      </c>
      <c r="R23" t="s" s="66">
        <v>66</v>
      </c>
      <c r="S23" t="s" s="66">
        <v>71</v>
      </c>
    </row>
    <row r="24" ht="32.05" customHeight="1">
      <c r="K24" s="33"/>
      <c r="L24" t="s" s="65">
        <v>72</v>
      </c>
      <c r="M24" t="s" s="66">
        <f>O23</f>
        <v>69</v>
      </c>
      <c r="N24" t="s" s="66">
        <v>73</v>
      </c>
      <c r="O24" t="s" s="66">
        <f>IF(Q24&gt;0,"raised","paid")</f>
        <v>67</v>
      </c>
      <c r="P24" t="s" s="66">
        <v>70</v>
      </c>
      <c r="Q24" s="35">
        <f>AVERAGE(B10:B14)</f>
        <v>18.4</v>
      </c>
      <c r="R24" t="s" s="66">
        <f>R23</f>
        <v>66</v>
      </c>
      <c r="S24" t="s" s="66">
        <v>71</v>
      </c>
    </row>
    <row r="25" ht="44.05" customHeight="1">
      <c r="K25" s="33"/>
      <c r="L25" t="s" s="65">
        <v>74</v>
      </c>
      <c r="M25" t="s" s="66">
        <v>75</v>
      </c>
      <c r="N25" s="35">
        <f>MAX(E3:E14)</f>
        <v>3826</v>
      </c>
      <c r="O25" t="s" s="66">
        <f>R24</f>
        <v>66</v>
      </c>
      <c r="P25" t="s" s="66">
        <v>76</v>
      </c>
      <c r="Q25" s="59">
        <f>$A13</f>
        <v>2020</v>
      </c>
      <c r="R25" s="40"/>
      <c r="S25" s="40"/>
    </row>
    <row r="26" ht="32.05" customHeight="1">
      <c r="K26" s="33"/>
      <c r="L26" t="s" s="65">
        <v>77</v>
      </c>
      <c r="M26" t="s" s="66">
        <f>M24</f>
        <v>69</v>
      </c>
      <c r="N26" t="s" s="66">
        <v>78</v>
      </c>
      <c r="O26" t="s" s="66">
        <v>79</v>
      </c>
      <c r="P26" t="s" s="66">
        <f>IF(R26&lt;N25,"down","up")</f>
        <v>80</v>
      </c>
      <c r="Q26" t="s" s="66">
        <v>81</v>
      </c>
      <c r="R26" s="35">
        <f>E14</f>
        <v>2750</v>
      </c>
      <c r="S26" t="s" s="66">
        <f>R24</f>
        <v>66</v>
      </c>
    </row>
    <row r="27" ht="20.05" customHeight="1">
      <c r="K27" s="33"/>
      <c r="L27" t="s" s="65">
        <v>14</v>
      </c>
      <c r="M27" s="35">
        <f>R31</f>
        <v>-183.6</v>
      </c>
      <c r="N27" t="s" s="66">
        <f>S26</f>
        <v>66</v>
      </c>
      <c r="O27" t="s" s="66">
        <f>IF(M27&gt;0,"raised","paid")</f>
        <v>82</v>
      </c>
      <c r="P27" s="40"/>
      <c r="Q27" s="40"/>
      <c r="R27" s="40"/>
      <c r="S27" s="40"/>
    </row>
    <row r="28" ht="32.05" customHeight="1">
      <c r="K28" s="33"/>
      <c r="L28" t="s" s="65">
        <f>L23</f>
        <v>58</v>
      </c>
      <c r="M28" t="s" s="66">
        <v>68</v>
      </c>
      <c r="N28" t="s" s="66">
        <f>IF(Q28&gt;0,"raised","paid")</f>
        <v>82</v>
      </c>
      <c r="O28" t="s" s="66">
        <v>83</v>
      </c>
      <c r="P28" t="s" s="66">
        <f>P23</f>
        <v>70</v>
      </c>
      <c r="Q28" s="35">
        <f>AVERAGE(C3:C14)</f>
        <v>-15.3</v>
      </c>
      <c r="R28" t="s" s="66">
        <f>R23</f>
        <v>66</v>
      </c>
      <c r="S28" t="s" s="66">
        <f>S23</f>
        <v>71</v>
      </c>
    </row>
    <row r="29" ht="32.05" customHeight="1">
      <c r="K29" s="33"/>
      <c r="L29" t="s" s="65">
        <v>72</v>
      </c>
      <c r="M29" t="s" s="66">
        <f>O28</f>
        <v>83</v>
      </c>
      <c r="N29" t="s" s="66">
        <v>84</v>
      </c>
      <c r="O29" t="s" s="66">
        <f>IF(Q29&gt;0,"raised","paid")</f>
        <v>82</v>
      </c>
      <c r="P29" t="s" s="66">
        <v>70</v>
      </c>
      <c r="Q29" s="35">
        <f>AVERAGE(C10:C14)</f>
        <v>-71.52</v>
      </c>
      <c r="R29" t="s" s="66">
        <f>R28</f>
        <v>66</v>
      </c>
      <c r="S29" t="s" s="66">
        <v>71</v>
      </c>
    </row>
    <row r="30" ht="44.05" customHeight="1">
      <c r="K30" s="33"/>
      <c r="L30" t="s" s="65">
        <v>85</v>
      </c>
      <c r="M30" t="s" s="66">
        <v>75</v>
      </c>
      <c r="N30" s="35">
        <f>MAX(F3:F14)</f>
        <v>458</v>
      </c>
      <c r="O30" t="s" s="66">
        <f>R29</f>
        <v>66</v>
      </c>
      <c r="P30" t="s" s="66">
        <v>76</v>
      </c>
      <c r="Q30" s="59">
        <f>$A6</f>
        <v>2013</v>
      </c>
      <c r="R30" s="40"/>
      <c r="S30" s="40"/>
    </row>
    <row r="31" ht="32.05" customHeight="1">
      <c r="K31" s="33"/>
      <c r="L31" t="s" s="65">
        <v>77</v>
      </c>
      <c r="M31" t="s" s="66">
        <f>M29</f>
        <v>83</v>
      </c>
      <c r="N31" t="s" s="66">
        <v>78</v>
      </c>
      <c r="O31" t="s" s="66">
        <v>86</v>
      </c>
      <c r="P31" t="s" s="66">
        <f>IF(R31&lt;N30,"down","up")</f>
        <v>80</v>
      </c>
      <c r="Q31" t="s" s="66">
        <v>81</v>
      </c>
      <c r="R31" s="35">
        <f>F14</f>
        <v>-183.6</v>
      </c>
      <c r="S31" t="s" s="66">
        <f>R29</f>
        <v>66</v>
      </c>
    </row>
    <row r="32" ht="20.05" customHeight="1">
      <c r="K32" s="33"/>
      <c r="L32" t="s" s="65">
        <v>87</v>
      </c>
      <c r="M32" s="35">
        <f>R36</f>
        <v>2566.4</v>
      </c>
      <c r="N32" t="s" s="66">
        <f>S31</f>
        <v>66</v>
      </c>
      <c r="O32" t="s" s="66">
        <f>IF(M32&gt;0,"raised","paid")</f>
        <v>67</v>
      </c>
      <c r="P32" s="40"/>
      <c r="Q32" s="40"/>
      <c r="R32" s="40"/>
      <c r="S32" s="40"/>
    </row>
    <row r="33" ht="32.05" customHeight="1">
      <c r="K33" s="33"/>
      <c r="L33" t="s" s="65">
        <f>L28</f>
        <v>58</v>
      </c>
      <c r="M33" t="s" s="66">
        <v>68</v>
      </c>
      <c r="N33" t="s" s="66">
        <f>IF(Q33&gt;0,"raised","paid")</f>
        <v>67</v>
      </c>
      <c r="O33" t="s" s="66">
        <v>88</v>
      </c>
      <c r="P33" t="s" s="66">
        <f>P28</f>
        <v>70</v>
      </c>
      <c r="Q33" s="35">
        <f>AVERAGE(D3:D14)</f>
        <v>213.866666666667</v>
      </c>
      <c r="R33" t="s" s="66">
        <f>R28</f>
        <v>66</v>
      </c>
      <c r="S33" t="s" s="66">
        <f>S28</f>
        <v>71</v>
      </c>
    </row>
    <row r="34" ht="32.05" customHeight="1">
      <c r="K34" s="33"/>
      <c r="L34" t="s" s="65">
        <v>72</v>
      </c>
      <c r="M34" t="s" s="66">
        <f>O33</f>
        <v>88</v>
      </c>
      <c r="N34" t="s" s="66">
        <v>84</v>
      </c>
      <c r="O34" t="s" s="66">
        <f>IF(Q34&gt;0,"raised","paid")</f>
        <v>82</v>
      </c>
      <c r="P34" t="s" s="66">
        <v>70</v>
      </c>
      <c r="Q34" s="35">
        <f>AVERAGE(D10:D14)</f>
        <v>-53.12</v>
      </c>
      <c r="R34" t="s" s="66">
        <f>R33</f>
        <v>66</v>
      </c>
      <c r="S34" t="s" s="66">
        <v>71</v>
      </c>
    </row>
    <row r="35" ht="44.05" customHeight="1">
      <c r="K35" s="33"/>
      <c r="L35" t="s" s="65">
        <v>89</v>
      </c>
      <c r="M35" t="s" s="66">
        <v>75</v>
      </c>
      <c r="N35" s="35">
        <f>MAX(G3:G14)</f>
        <v>3731</v>
      </c>
      <c r="O35" t="s" s="66">
        <f>R34</f>
        <v>66</v>
      </c>
      <c r="P35" t="s" s="66">
        <v>76</v>
      </c>
      <c r="Q35" s="59">
        <f>$A11</f>
        <v>2018</v>
      </c>
      <c r="R35" s="40"/>
      <c r="S35" s="40"/>
    </row>
    <row r="36" ht="32.05" customHeight="1">
      <c r="K36" s="33"/>
      <c r="L36" t="s" s="65">
        <v>77</v>
      </c>
      <c r="M36" t="s" s="66">
        <f>M34</f>
        <v>88</v>
      </c>
      <c r="N36" t="s" s="66">
        <v>78</v>
      </c>
      <c r="O36" t="s" s="66">
        <v>86</v>
      </c>
      <c r="P36" t="s" s="66">
        <f>IF(R36&lt;N35,"down","up")</f>
        <v>80</v>
      </c>
      <c r="Q36" t="s" s="66">
        <v>81</v>
      </c>
      <c r="R36" s="35">
        <f>G14</f>
        <v>2566.4</v>
      </c>
      <c r="S36" t="s" s="66">
        <f>R34</f>
        <v>66</v>
      </c>
    </row>
  </sheetData>
  <mergeCells count="2">
    <mergeCell ref="A1:J1"/>
    <mergeCell ref="K16:S16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35156" style="67" customWidth="1"/>
    <col min="2" max="7" width="11.7031" style="67" customWidth="1"/>
    <col min="8" max="16384" width="16.3516" style="67" customWidth="1"/>
  </cols>
  <sheetData>
    <row r="1" ht="49" customHeight="1"/>
    <row r="2" ht="27.65" customHeight="1">
      <c r="B2" t="s" s="26">
        <v>90</v>
      </c>
      <c r="C2" s="26"/>
      <c r="D2" s="26"/>
      <c r="E2" s="26"/>
      <c r="F2" s="26"/>
      <c r="G2" s="26"/>
    </row>
    <row r="3" ht="20.25" customHeight="1">
      <c r="B3" s="57"/>
      <c r="C3" t="s" s="68">
        <v>91</v>
      </c>
      <c r="D3" t="s" s="68">
        <v>92</v>
      </c>
      <c r="E3" t="s" s="68">
        <v>93</v>
      </c>
      <c r="F3" s="57"/>
      <c r="G3" s="57"/>
    </row>
    <row r="4" ht="20.25" customHeight="1">
      <c r="B4" s="28">
        <v>2019</v>
      </c>
      <c r="C4" s="29">
        <f>'Cashflow'!J24-'Cashflow'!C24</f>
        <v>-1282</v>
      </c>
      <c r="D4" s="69">
        <v>128.964</v>
      </c>
      <c r="E4" s="30">
        <f>('Cashflow'!J24-'Cashflow'!C24)/D4</f>
        <v>-9.94075866133184</v>
      </c>
      <c r="F4" s="30"/>
      <c r="G4" s="30"/>
    </row>
    <row r="5" ht="20.05" customHeight="1">
      <c r="B5" s="33"/>
      <c r="C5" s="34">
        <f>'Cashflow'!J25-'Cashflow'!C25</f>
        <v>-1480</v>
      </c>
      <c r="D5" s="39">
        <v>133.062</v>
      </c>
      <c r="E5" s="35">
        <f>('Cashflow'!J25-'Cashflow'!C25)/D5</f>
        <v>-11.1226345613323</v>
      </c>
      <c r="F5" s="35"/>
      <c r="G5" s="35"/>
    </row>
    <row r="6" ht="20.05" customHeight="1">
      <c r="B6" s="33"/>
      <c r="C6" s="34">
        <f>'Cashflow'!J26-'Cashflow'!C26</f>
        <v>-1336</v>
      </c>
      <c r="D6" s="39">
        <v>157.116</v>
      </c>
      <c r="E6" s="35">
        <f>('Cashflow'!J26-'Cashflow'!C26)/D6</f>
        <v>-8.503271468214569</v>
      </c>
      <c r="F6" s="43">
        <f>AVERAGE(E4:E6)</f>
        <v>-9.855554896959569</v>
      </c>
      <c r="G6" s="43"/>
    </row>
    <row r="7" ht="20.05" customHeight="1">
      <c r="B7" s="33"/>
      <c r="C7" s="34">
        <f>'Cashflow'!J27-'Cashflow'!C27</f>
        <v>-1837.8</v>
      </c>
      <c r="D7" s="39">
        <v>190.908</v>
      </c>
      <c r="E7" s="35">
        <f>('Cashflow'!J27-'Cashflow'!C27)/D7</f>
        <v>-9.62662643786536</v>
      </c>
      <c r="F7" s="43">
        <f>AVERAGE(E5:E7)</f>
        <v>-9.75084415580408</v>
      </c>
      <c r="G7" s="43"/>
    </row>
    <row r="8" ht="20.05" customHeight="1">
      <c r="B8" s="38">
        <v>2020</v>
      </c>
      <c r="C8" s="34">
        <f>'Cashflow'!J28-'Cashflow'!C28</f>
        <v>-1421</v>
      </c>
      <c r="D8" s="39">
        <v>152.653</v>
      </c>
      <c r="E8" s="35">
        <f>('Cashflow'!J28-'Cashflow'!C28)/D8</f>
        <v>-9.30869357300544</v>
      </c>
      <c r="F8" s="43">
        <f>AVERAGE(E6:E8)</f>
        <v>-9.14619715969512</v>
      </c>
      <c r="G8" s="43"/>
    </row>
    <row r="9" ht="20.05" customHeight="1">
      <c r="B9" s="33"/>
      <c r="C9" s="34">
        <f>'Cashflow'!J29-'Cashflow'!C29</f>
        <v>-1565.1</v>
      </c>
      <c r="D9" s="39">
        <v>159.456</v>
      </c>
      <c r="E9" s="35">
        <f>('Cashflow'!J29-'Cashflow'!C29)/D9</f>
        <v>-9.81524683925346</v>
      </c>
      <c r="F9" s="43">
        <f>AVERAGE(E7:E9)</f>
        <v>-9.58352228337475</v>
      </c>
      <c r="G9" s="43"/>
    </row>
    <row r="10" ht="20.05" customHeight="1">
      <c r="B10" s="33"/>
      <c r="C10" s="34">
        <f>'Cashflow'!J30-'Cashflow'!C30</f>
        <v>-1320.9</v>
      </c>
      <c r="D10" s="59">
        <v>130</v>
      </c>
      <c r="E10" s="35">
        <f>('Cashflow'!J30-'Cashflow'!C30)/D10</f>
        <v>-10.1607692307692</v>
      </c>
      <c r="F10" s="43">
        <f>AVERAGE(E8:E10)</f>
        <v>-9.76156988100937</v>
      </c>
      <c r="G10" s="43"/>
    </row>
    <row r="11" ht="20.05" customHeight="1">
      <c r="B11" s="33"/>
      <c r="C11" s="34">
        <f>'Cashflow'!J31-'Cashflow'!C31</f>
        <v>-1973</v>
      </c>
      <c r="D11" s="39">
        <v>194.891</v>
      </c>
      <c r="E11" s="35">
        <f>('Cashflow'!J31-'Cashflow'!C31)/D11</f>
        <v>-10.1236075549923</v>
      </c>
      <c r="F11" s="43">
        <f>AVERAGE(E9:E11)</f>
        <v>-10.033207875005</v>
      </c>
      <c r="G11" s="43"/>
    </row>
    <row r="12" ht="20.05" customHeight="1">
      <c r="B12" s="38">
        <v>2021</v>
      </c>
      <c r="C12" s="34">
        <f>'Cashflow'!J32-'Cashflow'!C32</f>
        <v>-1559.4</v>
      </c>
      <c r="D12" s="35">
        <v>143.7</v>
      </c>
      <c r="E12" s="35">
        <f>('Cashflow'!J32-'Cashflow'!C32)/D12</f>
        <v>-10.8517745302714</v>
      </c>
      <c r="F12" s="43">
        <f>AVERAGE(E10:E12)</f>
        <v>-10.3787171053443</v>
      </c>
      <c r="G12" s="43"/>
    </row>
    <row r="13" ht="20.05" customHeight="1">
      <c r="B13" s="33"/>
      <c r="C13" s="34">
        <f>'Cashflow'!J33-'Cashflow'!C33</f>
        <v>-1786.5</v>
      </c>
      <c r="D13" s="59">
        <v>144</v>
      </c>
      <c r="E13" s="35">
        <f>('Cashflow'!J33-'Cashflow'!C33)/D13</f>
        <v>-12.40625</v>
      </c>
      <c r="F13" s="43">
        <f>AVERAGE(E11:E13)</f>
        <v>-11.1272106950879</v>
      </c>
      <c r="G13" s="43"/>
    </row>
    <row r="14" ht="20.05" customHeight="1">
      <c r="B14" s="33"/>
      <c r="C14" s="34">
        <f>'Cashflow'!J34-'Cashflow'!C34</f>
        <v>-1777.9</v>
      </c>
      <c r="D14" s="59">
        <v>132</v>
      </c>
      <c r="E14" s="35">
        <f>('Cashflow'!J34-'Cashflow'!C34)/D14</f>
        <v>-13.4689393939394</v>
      </c>
      <c r="F14" s="43">
        <f>AVERAGE(E12:E14)</f>
        <v>-12.2423213080703</v>
      </c>
      <c r="G14" s="43"/>
    </row>
    <row r="15" ht="20.05" customHeight="1">
      <c r="B15" s="33"/>
      <c r="C15" s="34">
        <f>'Cashflow'!J35-'Cashflow'!C35</f>
        <v>-1115.5</v>
      </c>
      <c r="D15" s="59">
        <v>124</v>
      </c>
      <c r="E15" s="35">
        <f>('Cashflow'!J35-'Cashflow'!C35)/D15</f>
        <v>-8.99596774193548</v>
      </c>
      <c r="F15" s="43">
        <f>AVERAGE(E13:E15)</f>
        <v>-11.6237190452916</v>
      </c>
      <c r="G15" s="36">
        <f>F15/F6-1</f>
        <v>0.179407873713687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